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435" windowWidth="18915" windowHeight="12765"/>
  </bookViews>
  <sheets>
    <sheet name="Figure 3" sheetId="12" r:id="rId1"/>
    <sheet name="Figure 4&amp;5" sheetId="13" r:id="rId2"/>
    <sheet name="Figure 6" sheetId="14" r:id="rId3"/>
    <sheet name="Figure 7" sheetId="18" r:id="rId4"/>
    <sheet name="Figure 8" sheetId="17" r:id="rId5"/>
    <sheet name="Tables" sheetId="20" r:id="rId6"/>
  </sheets>
  <calcPr calcId="145621"/>
</workbook>
</file>

<file path=xl/calcChain.xml><?xml version="1.0" encoding="utf-8"?>
<calcChain xmlns="http://schemas.openxmlformats.org/spreadsheetml/2006/main">
  <c r="E23" i="12" l="1"/>
  <c r="D22" i="12"/>
  <c r="H34" i="13"/>
  <c r="J34" i="13"/>
  <c r="M34" i="13" s="1"/>
  <c r="O34" i="13" s="1"/>
  <c r="P34" i="13" s="1"/>
  <c r="K34" i="13"/>
  <c r="L34" i="13"/>
  <c r="N34" i="13" s="1"/>
  <c r="H36" i="13"/>
  <c r="J36" i="13"/>
  <c r="M36" i="13" s="1"/>
  <c r="O36" i="13" s="1"/>
  <c r="P36" i="13" s="1"/>
  <c r="K36" i="13"/>
  <c r="L36" i="13" s="1"/>
  <c r="N36" i="13" s="1"/>
  <c r="H37" i="13"/>
  <c r="J37" i="13"/>
  <c r="M37" i="13" s="1"/>
  <c r="O37" i="13" s="1"/>
  <c r="P37" i="13" s="1"/>
  <c r="K37" i="13"/>
  <c r="L37" i="13" s="1"/>
  <c r="N37" i="13" s="1"/>
  <c r="K50" i="13" l="1"/>
  <c r="J50" i="13"/>
  <c r="K49" i="13"/>
  <c r="J49" i="13"/>
  <c r="K47" i="13"/>
  <c r="J47" i="13"/>
  <c r="K45" i="13"/>
  <c r="J45" i="13"/>
  <c r="S6" i="17" l="1"/>
  <c r="U6" i="17"/>
  <c r="U16" i="17"/>
  <c r="T16" i="17"/>
  <c r="J22" i="18" l="1"/>
  <c r="J21" i="18"/>
  <c r="I21" i="18"/>
  <c r="H21" i="18"/>
  <c r="G22" i="18"/>
  <c r="G21" i="18"/>
  <c r="E22" i="18"/>
  <c r="E21" i="18"/>
  <c r="D21" i="18"/>
  <c r="C22" i="18"/>
  <c r="C21" i="18"/>
  <c r="C23" i="18"/>
  <c r="J16" i="18"/>
  <c r="K16" i="18"/>
  <c r="M16" i="18"/>
  <c r="J15" i="18"/>
  <c r="K15" i="18"/>
  <c r="M15" i="18"/>
  <c r="I16" i="18"/>
  <c r="L16" i="18"/>
  <c r="N16" i="18"/>
  <c r="O16" i="18"/>
  <c r="I15" i="18"/>
  <c r="L15" i="18"/>
  <c r="N15" i="18"/>
  <c r="O15" i="18"/>
  <c r="F16" i="18"/>
  <c r="F15" i="18"/>
  <c r="H35" i="13" l="1"/>
  <c r="D14" i="17" l="1"/>
  <c r="I9" i="17"/>
  <c r="D15" i="17"/>
  <c r="E14" i="17" s="1"/>
  <c r="F9" i="17" s="1"/>
  <c r="G9" i="17" s="1"/>
  <c r="D16" i="17"/>
  <c r="Q17" i="17"/>
  <c r="F6" i="17"/>
  <c r="F7" i="17"/>
  <c r="F8" i="17"/>
  <c r="G8" i="17"/>
  <c r="H8" i="17"/>
  <c r="J8" i="17"/>
  <c r="K8" i="17"/>
  <c r="K9" i="17"/>
  <c r="E22" i="12"/>
  <c r="E19" i="12"/>
  <c r="E25" i="12"/>
  <c r="E20" i="12"/>
  <c r="D19" i="12"/>
  <c r="C19" i="12"/>
  <c r="D25" i="12"/>
  <c r="D24" i="12"/>
  <c r="D23" i="12"/>
  <c r="D20" i="12"/>
  <c r="B19" i="12"/>
  <c r="C25" i="12"/>
  <c r="C23" i="12"/>
  <c r="C22" i="12"/>
  <c r="C20" i="12"/>
  <c r="B23" i="12"/>
  <c r="B22" i="12"/>
  <c r="B20" i="12"/>
  <c r="B25" i="12"/>
  <c r="B24" i="12"/>
  <c r="J9" i="17" l="1"/>
  <c r="H9" i="17"/>
  <c r="O8" i="12"/>
  <c r="O9" i="12"/>
  <c r="O10" i="12"/>
  <c r="O11" i="12"/>
  <c r="O13" i="12"/>
  <c r="O14" i="12"/>
  <c r="O15" i="12"/>
  <c r="O4" i="12"/>
  <c r="O5" i="12"/>
  <c r="O6" i="12"/>
  <c r="N4" i="12"/>
  <c r="N5" i="12"/>
  <c r="N6" i="12"/>
  <c r="N8" i="12"/>
  <c r="N9" i="12"/>
  <c r="N10" i="12"/>
  <c r="N11" i="12"/>
  <c r="N13" i="12"/>
  <c r="N14" i="12"/>
  <c r="N15" i="12"/>
  <c r="N3" i="12"/>
  <c r="M8" i="12"/>
  <c r="M9" i="12"/>
  <c r="M10" i="12"/>
  <c r="M11" i="12"/>
  <c r="M13" i="12"/>
  <c r="M14" i="12"/>
  <c r="M15" i="12"/>
  <c r="M4" i="12"/>
  <c r="M5" i="12"/>
  <c r="M6" i="12"/>
  <c r="M3" i="12"/>
  <c r="K14" i="12"/>
  <c r="L14" i="12"/>
  <c r="K15" i="12"/>
  <c r="L15" i="12"/>
  <c r="L13" i="12"/>
  <c r="K13" i="12"/>
  <c r="K9" i="12"/>
  <c r="L9" i="12"/>
  <c r="K10" i="12"/>
  <c r="L10" i="12"/>
  <c r="K11" i="12"/>
  <c r="L11" i="12"/>
  <c r="L8" i="12"/>
  <c r="K8" i="12"/>
  <c r="K4" i="12"/>
  <c r="L4" i="12"/>
  <c r="K5" i="12"/>
  <c r="L5" i="12"/>
  <c r="K6" i="12"/>
  <c r="L6" i="12"/>
  <c r="L3" i="12"/>
  <c r="K3" i="12"/>
  <c r="J8" i="12"/>
  <c r="J5" i="12"/>
  <c r="J6" i="12"/>
  <c r="J4" i="12"/>
  <c r="J3" i="12"/>
  <c r="N3" i="13"/>
  <c r="O3" i="13" s="1"/>
  <c r="Q3" i="13" s="1"/>
  <c r="J9" i="12"/>
  <c r="J10" i="12"/>
  <c r="J11" i="12"/>
  <c r="J13" i="12"/>
  <c r="J14" i="12"/>
  <c r="J15" i="12"/>
  <c r="O3" i="12" l="1"/>
  <c r="K35" i="13"/>
  <c r="L35" i="13" s="1"/>
  <c r="N35" i="13" s="1"/>
  <c r="J35" i="13" l="1"/>
  <c r="M35" i="13" s="1"/>
  <c r="O35" i="13" s="1"/>
  <c r="P35" i="13" s="1"/>
  <c r="M17" i="13" l="1"/>
  <c r="P17" i="13" s="1"/>
  <c r="R17" i="13" s="1"/>
  <c r="S17" i="13" s="1"/>
  <c r="M15" i="13"/>
  <c r="P15" i="13" s="1"/>
  <c r="R15" i="13" s="1"/>
  <c r="S15" i="13" s="1"/>
  <c r="M16" i="13"/>
  <c r="P16" i="13" s="1"/>
  <c r="R16" i="13" s="1"/>
  <c r="S16" i="13" s="1"/>
  <c r="N15" i="13"/>
  <c r="O15" i="13" s="1"/>
  <c r="Q15" i="13" s="1"/>
  <c r="M14" i="13"/>
  <c r="J12" i="13"/>
  <c r="J15" i="13"/>
  <c r="J16" i="13"/>
  <c r="J17" i="13"/>
  <c r="H15" i="13"/>
  <c r="I15" i="13" s="1"/>
  <c r="H16" i="13"/>
  <c r="I16" i="13" s="1"/>
  <c r="H17" i="13"/>
  <c r="I17" i="13" s="1"/>
  <c r="F15" i="13"/>
  <c r="D15" i="13"/>
  <c r="N17" i="13"/>
  <c r="O17" i="13" s="1"/>
  <c r="Q17" i="13" s="1"/>
  <c r="N16" i="13"/>
  <c r="O16" i="13" s="1"/>
  <c r="Q16" i="13" s="1"/>
  <c r="Z4" i="13" l="1"/>
  <c r="Y4" i="13"/>
  <c r="X4" i="13"/>
  <c r="W4" i="13"/>
  <c r="M9" i="13"/>
  <c r="P9" i="13" s="1"/>
  <c r="R9" i="13" s="1"/>
  <c r="S9" i="13" s="1"/>
  <c r="N9" i="13"/>
  <c r="O9" i="13" s="1"/>
  <c r="Q9" i="13" s="1"/>
  <c r="M10" i="13"/>
  <c r="P10" i="13" s="1"/>
  <c r="R10" i="13" s="1"/>
  <c r="S10" i="13" s="1"/>
  <c r="N10" i="13"/>
  <c r="O10" i="13" s="1"/>
  <c r="Q10" i="13" s="1"/>
  <c r="M11" i="13"/>
  <c r="P11" i="13" s="1"/>
  <c r="R11" i="13" s="1"/>
  <c r="S11" i="13" s="1"/>
  <c r="N11" i="13"/>
  <c r="O11" i="13" s="1"/>
  <c r="Q11" i="13" s="1"/>
  <c r="M12" i="13"/>
  <c r="P12" i="13" s="1"/>
  <c r="R12" i="13" s="1"/>
  <c r="S12" i="13" s="1"/>
  <c r="N12" i="13"/>
  <c r="O12" i="13" s="1"/>
  <c r="Q12" i="13" s="1"/>
  <c r="M13" i="13"/>
  <c r="P13" i="13" s="1"/>
  <c r="R13" i="13" s="1"/>
  <c r="S13" i="13" s="1"/>
  <c r="N13" i="13"/>
  <c r="O13" i="13" s="1"/>
  <c r="Q13" i="13" s="1"/>
  <c r="P14" i="13"/>
  <c r="R14" i="13" s="1"/>
  <c r="S14" i="13" s="1"/>
  <c r="N14" i="13"/>
  <c r="O14" i="13" s="1"/>
  <c r="Q14" i="13" s="1"/>
  <c r="M7" i="13"/>
  <c r="P7" i="13" s="1"/>
  <c r="R7" i="13" s="1"/>
  <c r="S7" i="13" s="1"/>
  <c r="N7" i="13"/>
  <c r="O7" i="13" s="1"/>
  <c r="Q7" i="13" s="1"/>
  <c r="M8" i="13"/>
  <c r="P8" i="13" s="1"/>
  <c r="R8" i="13" s="1"/>
  <c r="S8" i="13" s="1"/>
  <c r="N8" i="13"/>
  <c r="O8" i="13" s="1"/>
  <c r="Q8" i="13" s="1"/>
  <c r="M6" i="13"/>
  <c r="P6" i="13" s="1"/>
  <c r="R6" i="13" s="1"/>
  <c r="S6" i="13" s="1"/>
  <c r="N6" i="13"/>
  <c r="O6" i="13" s="1"/>
  <c r="Q6" i="13" s="1"/>
  <c r="M5" i="13"/>
  <c r="P5" i="13" s="1"/>
  <c r="R5" i="13" s="1"/>
  <c r="S5" i="13" s="1"/>
  <c r="N5" i="13"/>
  <c r="O5" i="13" s="1"/>
  <c r="Q5" i="13" s="1"/>
  <c r="M4" i="13"/>
  <c r="M3" i="13"/>
  <c r="P3" i="13" s="1"/>
  <c r="J4" i="13"/>
  <c r="J5" i="13"/>
  <c r="J6" i="13"/>
  <c r="J7" i="13"/>
  <c r="J8" i="13"/>
  <c r="J9" i="13"/>
  <c r="J10" i="13"/>
  <c r="J11" i="13"/>
  <c r="J13" i="13"/>
  <c r="J14" i="13"/>
  <c r="J3" i="13"/>
  <c r="H13" i="13"/>
  <c r="I13" i="13" s="1"/>
  <c r="H14" i="13"/>
  <c r="I14" i="13" s="1"/>
  <c r="F12" i="13"/>
  <c r="D12" i="13"/>
  <c r="F9" i="13"/>
  <c r="F6" i="13"/>
  <c r="D9" i="13"/>
  <c r="H10" i="13"/>
  <c r="I10" i="13" s="1"/>
  <c r="H11" i="13"/>
  <c r="I11" i="13" s="1"/>
  <c r="Z3" i="13" l="1"/>
  <c r="X3" i="13"/>
  <c r="W3" i="13"/>
  <c r="Y3" i="13"/>
  <c r="I4" i="13"/>
  <c r="I5" i="13"/>
  <c r="H7" i="13"/>
  <c r="I7" i="13" s="1"/>
  <c r="H8" i="13"/>
  <c r="I8" i="13" s="1"/>
  <c r="H4" i="13"/>
  <c r="H5" i="13"/>
  <c r="D6" i="13"/>
  <c r="D3" i="13"/>
  <c r="F3" i="13"/>
  <c r="H3" i="13"/>
  <c r="I3" i="13" s="1"/>
  <c r="H6" i="13"/>
  <c r="I6" i="13" s="1"/>
  <c r="H9" i="13"/>
  <c r="I9" i="13" s="1"/>
  <c r="H12" i="13"/>
  <c r="I12" i="13" s="1"/>
  <c r="H19" i="13"/>
  <c r="H20" i="13"/>
  <c r="H21" i="13"/>
  <c r="R3" i="13"/>
  <c r="S3" i="13" s="1"/>
  <c r="P4" i="13"/>
  <c r="R4" i="13" s="1"/>
  <c r="S4" i="13" s="1"/>
  <c r="N4" i="13"/>
  <c r="O4" i="13" s="1"/>
  <c r="Q4" i="13" s="1"/>
  <c r="W5" i="13" l="1"/>
  <c r="X5" i="13"/>
  <c r="Z5" i="13"/>
  <c r="Y5" i="13"/>
  <c r="H26" i="14"/>
  <c r="N19" i="13" l="1"/>
  <c r="O19" i="13" s="1"/>
  <c r="Q19" i="13" s="1"/>
  <c r="N20" i="13"/>
  <c r="O20" i="13" s="1"/>
  <c r="Q20" i="13" s="1"/>
  <c r="N21" i="13"/>
  <c r="O21" i="13" s="1"/>
  <c r="Q21" i="13" s="1"/>
  <c r="M19" i="13"/>
  <c r="P19" i="13" s="1"/>
  <c r="R19" i="13" s="1"/>
  <c r="S19" i="13" s="1"/>
  <c r="M20" i="13"/>
  <c r="P20" i="13" s="1"/>
  <c r="R20" i="13" s="1"/>
  <c r="S20" i="13" s="1"/>
  <c r="M21" i="13"/>
  <c r="P21" i="13" s="1"/>
  <c r="R21" i="13" s="1"/>
  <c r="S21" i="13" s="1"/>
  <c r="K29" i="14"/>
  <c r="K28" i="14"/>
  <c r="K27" i="14"/>
  <c r="J27" i="14"/>
  <c r="K26" i="14"/>
  <c r="J30" i="14"/>
  <c r="J29" i="14"/>
  <c r="J28" i="14"/>
  <c r="J26" i="14"/>
  <c r="I27" i="14"/>
  <c r="I29" i="14"/>
  <c r="I28" i="14"/>
  <c r="H30" i="14"/>
  <c r="H29" i="14"/>
  <c r="H28" i="14"/>
  <c r="H27" i="14"/>
  <c r="I26" i="14"/>
  <c r="E26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4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5" i="14"/>
  <c r="L4" i="14"/>
  <c r="K3" i="18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4" i="14"/>
  <c r="D30" i="14"/>
  <c r="B30" i="14"/>
  <c r="B26" i="14" l="1"/>
  <c r="B27" i="14"/>
  <c r="B28" i="14"/>
  <c r="B29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4" i="14"/>
  <c r="R10" i="17"/>
  <c r="S10" i="17" s="1"/>
  <c r="U10" i="17" s="1"/>
  <c r="R7" i="17"/>
  <c r="S7" i="17" s="1"/>
  <c r="R8" i="17"/>
  <c r="S8" i="17" s="1"/>
  <c r="U8" i="17" s="1"/>
  <c r="R6" i="17"/>
  <c r="R11" i="17"/>
  <c r="S11" i="17" s="1"/>
  <c r="U11" i="17" s="1"/>
  <c r="R12" i="17"/>
  <c r="S12" i="17" s="1"/>
  <c r="U12" i="17" s="1"/>
  <c r="Q11" i="17"/>
  <c r="T11" i="17" s="1"/>
  <c r="V11" i="17" s="1"/>
  <c r="W11" i="17" s="1"/>
  <c r="Q12" i="17"/>
  <c r="T12" i="17" s="1"/>
  <c r="V12" i="17" s="1"/>
  <c r="W12" i="17" s="1"/>
  <c r="Q7" i="17"/>
  <c r="T7" i="17" s="1"/>
  <c r="V7" i="17" s="1"/>
  <c r="W7" i="17" s="1"/>
  <c r="Q8" i="17"/>
  <c r="T8" i="17" s="1"/>
  <c r="V8" i="17" s="1"/>
  <c r="Q10" i="17"/>
  <c r="T10" i="17" s="1"/>
  <c r="V10" i="17" s="1"/>
  <c r="Q6" i="17"/>
  <c r="T6" i="17" s="1"/>
  <c r="V6" i="17" s="1"/>
  <c r="R17" i="17"/>
  <c r="S17" i="17" s="1"/>
  <c r="R16" i="17" l="1"/>
  <c r="W16" i="17"/>
  <c r="U17" i="17"/>
  <c r="V17" i="17"/>
  <c r="W17" i="17"/>
  <c r="X17" i="17" s="1"/>
  <c r="W10" i="17"/>
  <c r="Y17" i="17" s="1"/>
  <c r="Q16" i="17"/>
  <c r="U7" i="17"/>
  <c r="W6" i="17"/>
  <c r="W8" i="17"/>
  <c r="V16" i="17" l="1"/>
  <c r="S16" i="17"/>
  <c r="X16" i="17"/>
  <c r="Y16" i="17"/>
  <c r="T17" i="17" l="1"/>
  <c r="I24" i="18" l="1"/>
  <c r="I23" i="18"/>
  <c r="I22" i="18"/>
  <c r="O4" i="18"/>
  <c r="O5" i="18"/>
  <c r="O6" i="18"/>
  <c r="O7" i="18"/>
  <c r="O8" i="18"/>
  <c r="O9" i="18"/>
  <c r="O10" i="18"/>
  <c r="O11" i="18"/>
  <c r="O12" i="18"/>
  <c r="O13" i="18"/>
  <c r="O14" i="18"/>
  <c r="O3" i="18"/>
  <c r="H22" i="18"/>
  <c r="H23" i="18"/>
  <c r="H24" i="18"/>
  <c r="K24" i="18"/>
  <c r="K23" i="18"/>
  <c r="K22" i="18"/>
  <c r="K21" i="18"/>
  <c r="J24" i="18"/>
  <c r="J23" i="18"/>
  <c r="F21" i="18"/>
  <c r="G24" i="18"/>
  <c r="G23" i="18"/>
  <c r="L4" i="18"/>
  <c r="L5" i="18"/>
  <c r="L6" i="18"/>
  <c r="L7" i="18"/>
  <c r="L8" i="18"/>
  <c r="N8" i="18" s="1"/>
  <c r="L9" i="18"/>
  <c r="N9" i="18" s="1"/>
  <c r="L10" i="18"/>
  <c r="N10" i="18" s="1"/>
  <c r="L11" i="18"/>
  <c r="N11" i="18" s="1"/>
  <c r="L12" i="18"/>
  <c r="L13" i="18"/>
  <c r="L14" i="18"/>
  <c r="L3" i="18"/>
  <c r="N14" i="18"/>
  <c r="M4" i="18"/>
  <c r="N4" i="18"/>
  <c r="M5" i="18"/>
  <c r="N5" i="18"/>
  <c r="M6" i="18"/>
  <c r="N6" i="18"/>
  <c r="M7" i="18"/>
  <c r="N7" i="18"/>
  <c r="M8" i="18"/>
  <c r="M9" i="18"/>
  <c r="M10" i="18"/>
  <c r="M11" i="18"/>
  <c r="M12" i="18"/>
  <c r="N12" i="18"/>
  <c r="M13" i="18"/>
  <c r="N13" i="18"/>
  <c r="M14" i="18"/>
  <c r="M3" i="18"/>
  <c r="N3" i="18"/>
  <c r="K4" i="18"/>
  <c r="K5" i="18"/>
  <c r="K6" i="18"/>
  <c r="K7" i="18"/>
  <c r="K8" i="18"/>
  <c r="K9" i="18"/>
  <c r="K10" i="18"/>
  <c r="K11" i="18"/>
  <c r="K12" i="18"/>
  <c r="K13" i="18"/>
  <c r="K14" i="18"/>
  <c r="F5" i="18"/>
  <c r="F6" i="18"/>
  <c r="F7" i="18"/>
  <c r="F8" i="18"/>
  <c r="F9" i="18"/>
  <c r="F10" i="18"/>
  <c r="F11" i="18"/>
  <c r="F12" i="18"/>
  <c r="F13" i="18"/>
  <c r="F14" i="18"/>
  <c r="F4" i="18"/>
  <c r="F3" i="18"/>
  <c r="J4" i="18"/>
  <c r="J5" i="18"/>
  <c r="J6" i="18"/>
  <c r="J7" i="18"/>
  <c r="J8" i="18"/>
  <c r="J9" i="18"/>
  <c r="J10" i="18"/>
  <c r="J11" i="18"/>
  <c r="J12" i="18"/>
  <c r="J13" i="18"/>
  <c r="J14" i="18"/>
  <c r="J3" i="18"/>
  <c r="I4" i="18"/>
  <c r="I5" i="18"/>
  <c r="I6" i="18"/>
  <c r="I7" i="18"/>
  <c r="I8" i="18"/>
  <c r="I9" i="18"/>
  <c r="I10" i="18"/>
  <c r="I11" i="18"/>
  <c r="I12" i="18"/>
  <c r="I13" i="18"/>
  <c r="I14" i="18"/>
  <c r="I3" i="18"/>
  <c r="I4" i="12" l="1"/>
  <c r="I5" i="12"/>
  <c r="I6" i="12"/>
  <c r="I8" i="12"/>
  <c r="I9" i="12"/>
  <c r="I10" i="12"/>
  <c r="I11" i="12"/>
  <c r="I13" i="12"/>
  <c r="I14" i="12"/>
  <c r="I15" i="12"/>
  <c r="I3" i="12"/>
  <c r="E3" i="12"/>
  <c r="C26" i="14" l="1"/>
  <c r="E4" i="14" l="1"/>
  <c r="E4" i="12"/>
  <c r="E5" i="12"/>
  <c r="E15" i="14" l="1"/>
  <c r="E6" i="14" l="1"/>
  <c r="F24" i="18"/>
  <c r="E24" i="18"/>
  <c r="F23" i="18"/>
  <c r="E23" i="18"/>
  <c r="F22" i="18"/>
  <c r="E21" i="14"/>
  <c r="E20" i="14"/>
  <c r="E19" i="14"/>
  <c r="E18" i="14"/>
  <c r="E17" i="14"/>
  <c r="E16" i="14"/>
  <c r="E14" i="14"/>
  <c r="E13" i="14"/>
  <c r="C27" i="14"/>
  <c r="E12" i="14"/>
  <c r="E11" i="14"/>
  <c r="E10" i="14"/>
  <c r="D28" i="14" s="1"/>
  <c r="E9" i="14"/>
  <c r="E8" i="14"/>
  <c r="E7" i="14"/>
  <c r="E5" i="14"/>
  <c r="J21" i="13"/>
  <c r="I21" i="13"/>
  <c r="J20" i="13"/>
  <c r="I20" i="13"/>
  <c r="J19" i="13"/>
  <c r="I19" i="13"/>
  <c r="J25" i="13"/>
  <c r="E15" i="12"/>
  <c r="E14" i="12"/>
  <c r="E13" i="12"/>
  <c r="E11" i="12"/>
  <c r="E10" i="12"/>
  <c r="E9" i="12"/>
  <c r="E8" i="12"/>
  <c r="E6" i="12"/>
  <c r="D26" i="14" l="1"/>
  <c r="E29" i="14"/>
  <c r="E27" i="14"/>
  <c r="C28" i="14"/>
  <c r="D29" i="14"/>
  <c r="D27" i="14"/>
  <c r="E28" i="14"/>
  <c r="D23" i="18"/>
  <c r="D24" i="18"/>
  <c r="C24" i="18"/>
  <c r="D22" i="18"/>
  <c r="C29" i="14"/>
  <c r="L50" i="13" l="1"/>
  <c r="N50" i="13"/>
  <c r="L47" i="13"/>
  <c r="N47" i="13" s="1"/>
  <c r="M45" i="13"/>
  <c r="O45" i="13" s="1"/>
  <c r="P45" i="13" s="1"/>
  <c r="H45" i="13"/>
  <c r="L45" i="13"/>
  <c r="N45" i="13" s="1"/>
  <c r="H47" i="13"/>
  <c r="M47" i="13"/>
  <c r="O47" i="13" s="1"/>
  <c r="P47" i="13" s="1"/>
  <c r="H50" i="13"/>
  <c r="M50" i="13"/>
  <c r="O50" i="13" s="1"/>
  <c r="P50" i="13" s="1"/>
  <c r="M49" i="13"/>
  <c r="O49" i="13" s="1"/>
  <c r="P49" i="13" s="1"/>
  <c r="H49" i="13"/>
  <c r="L49" i="13"/>
  <c r="N49" i="13" s="1"/>
</calcChain>
</file>

<file path=xl/sharedStrings.xml><?xml version="1.0" encoding="utf-8"?>
<sst xmlns="http://schemas.openxmlformats.org/spreadsheetml/2006/main" count="434" uniqueCount="196">
  <si>
    <t>NF270 (V)</t>
  </si>
  <si>
    <t>NF90 (V)</t>
  </si>
  <si>
    <t>BW30 (V)</t>
  </si>
  <si>
    <t>SW30 (V)</t>
  </si>
  <si>
    <t>DOW FILMTEC NF90 M (R1)</t>
  </si>
  <si>
    <t>DOW FILMTEC NF90 M (R2)</t>
  </si>
  <si>
    <t>DOW FILMTEC NF90 (1R)</t>
  </si>
  <si>
    <t>DOW FILMTEC NF90 (2R)</t>
  </si>
  <si>
    <t>DOW FILMTEC NF90 (3R)</t>
  </si>
  <si>
    <t>DOW FILMTEC NF270 (1R)</t>
  </si>
  <si>
    <t>DOW FILMTEC NF270 (2R)</t>
  </si>
  <si>
    <t>DOW FILMTEC NF270 (3R)</t>
  </si>
  <si>
    <t>DOW FILMTEC BW30 (1R)</t>
  </si>
  <si>
    <t>DOW FILMTEC BW30 (2R)</t>
  </si>
  <si>
    <t>DOW FILMTEC BW30 (3R)</t>
  </si>
  <si>
    <t>DOW FILMTEC SW30 (1R)</t>
  </si>
  <si>
    <t>DOW FILMTEC SW30 (2R)</t>
  </si>
  <si>
    <t>DOW FILMTEC SW30 (3R)</t>
  </si>
  <si>
    <t>DOW FILMTEC TW30 module</t>
  </si>
  <si>
    <t>DOW FILMTEC NF90</t>
  </si>
  <si>
    <t>DOW FILMTEC NF270</t>
  </si>
  <si>
    <t>DOW FILMTEC BW30</t>
  </si>
  <si>
    <t>DOW FILMTEC SW30</t>
  </si>
  <si>
    <t>Pressure (psi)</t>
  </si>
  <si>
    <t>Feed of 1000 ppm</t>
  </si>
  <si>
    <t>Calculations</t>
  </si>
  <si>
    <t>(V) NF-270 (No Pre-Soak)(150psi/0.8L)</t>
  </si>
  <si>
    <t>GE Osmonics Duracid</t>
  </si>
  <si>
    <t>(2X) NF-270(150psi/0.8L)</t>
  </si>
  <si>
    <t>GE Osmonics DK</t>
  </si>
  <si>
    <t>GE Osmonics Duracid (1R)</t>
  </si>
  <si>
    <t>GE NF Duracid(150psi/0.8L)</t>
  </si>
  <si>
    <t>GE Osmonics DL</t>
  </si>
  <si>
    <t>GE Osmonics DK (1R)</t>
  </si>
  <si>
    <t>GE DK NF (V)(150psi/0.8L)</t>
  </si>
  <si>
    <t>GE Osmonics CK</t>
  </si>
  <si>
    <t>GE Osmonics DK (2R)</t>
  </si>
  <si>
    <t>GE DK NF (2X)(150psi/0.8L)</t>
  </si>
  <si>
    <t>GE Osmonics DL (1R)</t>
  </si>
  <si>
    <t>GE DL NF (V)(150psi/0.8L)</t>
  </si>
  <si>
    <t>GE Osmonics DL (2R)</t>
  </si>
  <si>
    <t>GE DL NF (2X)(150psi/0.8L)</t>
  </si>
  <si>
    <t>GE Osmonics CK (1R)</t>
  </si>
  <si>
    <t>GE CK NF (V)(350psi/0.8L)</t>
  </si>
  <si>
    <t>GE Osmonics CK (2R)</t>
  </si>
  <si>
    <t>GE CK NF (2X)(150psi/0.8L)</t>
  </si>
  <si>
    <t>Nanostone(V)(150psi/0.8L)</t>
  </si>
  <si>
    <t>Nanostone(2X)(150psi/0.8L)</t>
  </si>
  <si>
    <t>Pressure (bar)</t>
  </si>
  <si>
    <t>(V) BW 30 (350psi)(1.8%)</t>
  </si>
  <si>
    <t>DOW FIMLTEC BW30 (1R)</t>
  </si>
  <si>
    <t>(2X) BW 30(1.3%)</t>
  </si>
  <si>
    <t>DOW FIMLTEC BW30 (2R)</t>
  </si>
  <si>
    <t>(V) BW 30 (300 psi)(1.7%)</t>
  </si>
  <si>
    <t>*DOW FIMLTEC BW30 (1R)</t>
  </si>
  <si>
    <t>(2X) BW 30(0.6%)</t>
  </si>
  <si>
    <t>*DOW FIMLTEC BW30 (2R)</t>
  </si>
  <si>
    <t>(V) Toray 73 AC (300 psi)(1.8%)</t>
  </si>
  <si>
    <t>Toray 73AC (1R)</t>
  </si>
  <si>
    <t>(2X) Toray 73 AC(1.0%)</t>
  </si>
  <si>
    <t>Toray 73AC (2R)</t>
  </si>
  <si>
    <t>(V) Trisep ACM1 (300 psi)(1.4%)</t>
  </si>
  <si>
    <t>TriSep ACM1 (1R)</t>
  </si>
  <si>
    <t>(2X) Trisep ACM1(1.0%)</t>
  </si>
  <si>
    <t>TriSep ACM1(2R)</t>
  </si>
  <si>
    <t>(V) Toray-73HA (150 psi)(1.0%)</t>
  </si>
  <si>
    <t>Toray 73HA (1R)</t>
  </si>
  <si>
    <t>(2X) Toray-73HA(150 psi)(0.5%)</t>
  </si>
  <si>
    <t>Toray 73HA (2R)</t>
  </si>
  <si>
    <t>(V) SW30-XLE(150 psi)(1.2%)</t>
  </si>
  <si>
    <t>DOW FILMTEC SW30XLE(1R)</t>
  </si>
  <si>
    <t>(2X) SW30-XLE(150psi)(0.7%)</t>
  </si>
  <si>
    <t>DOW FILMTEC SW30XLE(2R)</t>
  </si>
  <si>
    <t>(V) DOW NF90 (300 psi) (1.8%)</t>
  </si>
  <si>
    <t>(2X) DOW NF90 (300 psi)(3.2%)</t>
  </si>
  <si>
    <t>(V) GE NF DL (300 psi) (2.5%)</t>
  </si>
  <si>
    <t>(2X) GE NF DL (300 psi) (2.0%)</t>
  </si>
  <si>
    <t>(V) DOW NF90 (300 psi) (3.5%)</t>
  </si>
  <si>
    <t>(2X) DOW NF90 (350 psi)(12%)</t>
  </si>
  <si>
    <t>Membrane type</t>
  </si>
  <si>
    <t>Classification</t>
  </si>
  <si>
    <t>Thin film polymer</t>
  </si>
  <si>
    <t>Test performed</t>
  </si>
  <si>
    <t>RO</t>
  </si>
  <si>
    <t>polyamide</t>
  </si>
  <si>
    <t>coupon</t>
  </si>
  <si>
    <t>Toray 73AC</t>
  </si>
  <si>
    <t>DOW FILMTEC SW30XLE</t>
  </si>
  <si>
    <t>Toray 73HA</t>
  </si>
  <si>
    <t>NF</t>
  </si>
  <si>
    <t>coupon &amp; module</t>
  </si>
  <si>
    <t>TriSep ACM1</t>
  </si>
  <si>
    <t>DOW FILMTEC TW30</t>
  </si>
  <si>
    <t>module</t>
  </si>
  <si>
    <t>cellulose acetate</t>
  </si>
  <si>
    <t>thin film (not specified)</t>
  </si>
  <si>
    <t>thin film composite</t>
  </si>
  <si>
    <r>
      <t>Average Flux (Lm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>h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)</t>
    </r>
  </si>
  <si>
    <t>Average Rejection (%)</t>
  </si>
  <si>
    <t>Feed concentration, w% H2CO3</t>
  </si>
  <si>
    <r>
      <t>Average Permeance (Lm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>h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bar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)</t>
    </r>
  </si>
  <si>
    <r>
      <t>Permeance (Lm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>h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bar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)</t>
    </r>
  </si>
  <si>
    <t>Rejection (%)</t>
  </si>
  <si>
    <t>Error</t>
  </si>
  <si>
    <t>Feed of 1 w%</t>
  </si>
  <si>
    <t>Rejection, %</t>
  </si>
  <si>
    <r>
      <t>Flux (Lm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>h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)</t>
    </r>
  </si>
  <si>
    <t>Average Rejection, %</t>
  </si>
  <si>
    <t>DOW FILMTEC NF90 M (R3)</t>
  </si>
  <si>
    <t>DOW FILMTEC NF90 (V)(150psi/0.8L)</t>
  </si>
  <si>
    <t>DOW FILMTEC NF90 (2X)(150psi/0.8L)</t>
  </si>
  <si>
    <t>Nanofiltration (NF) coupon tests</t>
  </si>
  <si>
    <t xml:space="preserve">Error </t>
  </si>
  <si>
    <t>Manufacturer specified salt rejection, %</t>
  </si>
  <si>
    <t>Operating range, psi</t>
  </si>
  <si>
    <t>800 - 1000</t>
  </si>
  <si>
    <t>225 - 600</t>
  </si>
  <si>
    <t>25 - 150</t>
  </si>
  <si>
    <t>70 - 600</t>
  </si>
  <si>
    <r>
      <t>CHP-H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CO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, w%</t>
    </r>
  </si>
  <si>
    <r>
      <t>CHP-H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CO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, </t>
    </r>
    <r>
      <rPr>
        <i/>
        <sz val="12"/>
        <color theme="1"/>
        <rFont val="Times New Roman"/>
        <family val="1"/>
      </rPr>
      <t>m</t>
    </r>
  </si>
  <si>
    <t>solution osmolality, mOsm</t>
  </si>
  <si>
    <t>osmotic pressure, psi</t>
  </si>
  <si>
    <t>Table 1 - Membranes used</t>
  </si>
  <si>
    <t>Selected Nanofiltration (NF) coupon tests</t>
  </si>
  <si>
    <t>Reverse Osmosis (RO) coupon tests</t>
  </si>
  <si>
    <t>Long term coupon tests</t>
  </si>
  <si>
    <t>Module tests</t>
  </si>
  <si>
    <t>SP</t>
  </si>
  <si>
    <t>A</t>
  </si>
  <si>
    <t>B</t>
  </si>
  <si>
    <r>
      <rPr>
        <sz val="11"/>
        <color theme="1"/>
        <rFont val="Times New Roman"/>
        <family val="1"/>
      </rPr>
      <t>∆Π</t>
    </r>
    <r>
      <rPr>
        <sz val="12.65"/>
        <color theme="1"/>
        <rFont val="Calibri"/>
        <family val="2"/>
      </rPr>
      <t>, psi</t>
    </r>
  </si>
  <si>
    <t>Pressure applied, psi</t>
  </si>
  <si>
    <t>LMH</t>
  </si>
  <si>
    <t>NDP, psi</t>
  </si>
  <si>
    <t>FNSP</t>
  </si>
  <si>
    <t>FN, NDP</t>
  </si>
  <si>
    <t>FN, Rejection %</t>
  </si>
  <si>
    <t>DOW FILMTEC NF90 1</t>
  </si>
  <si>
    <t>DOW FILMTEC NF90 2</t>
  </si>
  <si>
    <t>DOW FILMTEC NF90 3</t>
  </si>
  <si>
    <t>DOW FILMTEC TW30 1</t>
  </si>
  <si>
    <t>DOW FILMTEC TW30 2</t>
  </si>
  <si>
    <t>DOW FILMTEC TW30 3</t>
  </si>
  <si>
    <t>Feed concentration, w%</t>
  </si>
  <si>
    <t>FNR (%)</t>
  </si>
  <si>
    <t>FNNDF, psi</t>
  </si>
  <si>
    <t>Pressure, PSI</t>
  </si>
  <si>
    <t>LPH</t>
  </si>
  <si>
    <t>P, psi</t>
  </si>
  <si>
    <r>
      <t>CHP-H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CO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, wt%</t>
    </r>
  </si>
  <si>
    <r>
      <t>Flux, Lm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h</t>
    </r>
    <r>
      <rPr>
        <vertAlign val="superscript"/>
        <sz val="11"/>
        <color theme="1"/>
        <rFont val="Calibri"/>
        <family val="2"/>
        <scheme val="minor"/>
      </rPr>
      <t>-1</t>
    </r>
  </si>
  <si>
    <t>Module</t>
  </si>
  <si>
    <t>*copied from figure 8</t>
  </si>
  <si>
    <r>
      <t>Flux, Lm</t>
    </r>
    <r>
      <rPr>
        <vertAlign val="superscript"/>
        <sz val="11"/>
        <color rgb="FFFF0000"/>
        <rFont val="Calibri"/>
        <family val="2"/>
        <scheme val="minor"/>
      </rPr>
      <t>-2</t>
    </r>
    <r>
      <rPr>
        <sz val="11"/>
        <color rgb="FFFF0000"/>
        <rFont val="Calibri"/>
        <family val="2"/>
        <scheme val="minor"/>
      </rPr>
      <t>h</t>
    </r>
    <r>
      <rPr>
        <vertAlign val="superscript"/>
        <sz val="11"/>
        <color rgb="FFFF0000"/>
        <rFont val="Calibri"/>
        <family val="2"/>
        <scheme val="minor"/>
      </rPr>
      <t>-1</t>
    </r>
  </si>
  <si>
    <r>
      <t>Permeance (Lm</t>
    </r>
    <r>
      <rPr>
        <vertAlign val="superscript"/>
        <sz val="11"/>
        <color rgb="FFFF0000"/>
        <rFont val="Times New Roman"/>
        <family val="1"/>
      </rPr>
      <t>-2</t>
    </r>
    <r>
      <rPr>
        <sz val="11"/>
        <color rgb="FFFF0000"/>
        <rFont val="Times New Roman"/>
        <family val="1"/>
      </rPr>
      <t>h</t>
    </r>
    <r>
      <rPr>
        <vertAlign val="superscript"/>
        <sz val="11"/>
        <color rgb="FFFF0000"/>
        <rFont val="Times New Roman"/>
        <family val="1"/>
      </rPr>
      <t>-1</t>
    </r>
    <r>
      <rPr>
        <sz val="11"/>
        <color rgb="FFFF0000"/>
        <rFont val="Times New Roman"/>
        <family val="1"/>
      </rPr>
      <t>bar</t>
    </r>
    <r>
      <rPr>
        <vertAlign val="superscript"/>
        <sz val="11"/>
        <color rgb="FFFF0000"/>
        <rFont val="Times New Roman"/>
        <family val="1"/>
      </rPr>
      <t>-1</t>
    </r>
    <r>
      <rPr>
        <sz val="11"/>
        <color rgb="FFFF0000"/>
        <rFont val="Times New Roman"/>
        <family val="1"/>
      </rPr>
      <t>)</t>
    </r>
  </si>
  <si>
    <r>
      <rPr>
        <sz val="11"/>
        <color rgb="FFFF0000"/>
        <rFont val="Times New Roman"/>
        <family val="1"/>
      </rPr>
      <t>∆Π</t>
    </r>
    <r>
      <rPr>
        <sz val="12.65"/>
        <color rgb="FFFF0000"/>
        <rFont val="Calibri"/>
        <family val="2"/>
      </rPr>
      <t>, psi</t>
    </r>
  </si>
  <si>
    <t>added from another experiment</t>
  </si>
  <si>
    <t>Feed concentration, wt %</t>
  </si>
  <si>
    <t>FNR, %</t>
  </si>
  <si>
    <r>
      <t xml:space="preserve">932 </t>
    </r>
    <r>
      <rPr>
        <sz val="12"/>
        <color rgb="FF000000"/>
        <rFont val="Calibri"/>
        <family val="2"/>
      </rPr>
      <t>±</t>
    </r>
    <r>
      <rPr>
        <sz val="12"/>
        <color rgb="FF000000"/>
        <rFont val="Times New Roman"/>
        <family val="1"/>
      </rPr>
      <t xml:space="preserve"> 36.1</t>
    </r>
  </si>
  <si>
    <r>
      <t xml:space="preserve">337 </t>
    </r>
    <r>
      <rPr>
        <sz val="12"/>
        <color rgb="FF000000"/>
        <rFont val="Calibri"/>
        <family val="2"/>
      </rPr>
      <t>± 37.6</t>
    </r>
  </si>
  <si>
    <r>
      <t xml:space="preserve">94.8 </t>
    </r>
    <r>
      <rPr>
        <sz val="12"/>
        <color rgb="FF000000"/>
        <rFont val="Calibri"/>
        <family val="2"/>
      </rPr>
      <t>±</t>
    </r>
    <r>
      <rPr>
        <sz val="12"/>
        <color rgb="FF000000"/>
        <rFont val="Times New Roman"/>
        <family val="1"/>
      </rPr>
      <t xml:space="preserve"> 0.0</t>
    </r>
  </si>
  <si>
    <r>
      <t xml:space="preserve">480 </t>
    </r>
    <r>
      <rPr>
        <sz val="12"/>
        <color rgb="FF000000"/>
        <rFont val="Calibri"/>
        <family val="2"/>
      </rPr>
      <t xml:space="preserve">± </t>
    </r>
    <r>
      <rPr>
        <sz val="12"/>
        <color rgb="FF000000"/>
        <rFont val="Times New Roman"/>
        <family val="1"/>
      </rPr>
      <t>0.0</t>
    </r>
  </si>
  <si>
    <r>
      <t xml:space="preserve">97.9 </t>
    </r>
    <r>
      <rPr>
        <sz val="12"/>
        <color rgb="FF000000"/>
        <rFont val="Calibri"/>
        <family val="2"/>
      </rPr>
      <t xml:space="preserve">± </t>
    </r>
    <r>
      <rPr>
        <sz val="12"/>
        <color rgb="FF000000"/>
        <rFont val="Times New Roman"/>
        <family val="1"/>
      </rPr>
      <t>0.3</t>
    </r>
  </si>
  <si>
    <t>-</t>
  </si>
  <si>
    <r>
      <t xml:space="preserve">245 </t>
    </r>
    <r>
      <rPr>
        <sz val="12"/>
        <color rgb="FF000000"/>
        <rFont val="Calibri"/>
        <family val="2"/>
      </rPr>
      <t>±</t>
    </r>
    <r>
      <rPr>
        <sz val="12"/>
        <color rgb="FF000000"/>
        <rFont val="Times New Roman"/>
        <family val="1"/>
      </rPr>
      <t xml:space="preserve"> 34.1</t>
    </r>
  </si>
  <si>
    <t>130 ± 0.0</t>
  </si>
  <si>
    <t>83.2 ± 17.9</t>
  </si>
  <si>
    <t>28.1 ± 0.0</t>
  </si>
  <si>
    <t>823 ± 10.1</t>
  </si>
  <si>
    <t>278 ± 14.1</t>
  </si>
  <si>
    <t>661 ± 37.6</t>
  </si>
  <si>
    <t>244 ± 0.0</t>
  </si>
  <si>
    <t>175 ± 75.4</t>
  </si>
  <si>
    <t>170 ± 18.1</t>
  </si>
  <si>
    <t>172 ± 43.9</t>
  </si>
  <si>
    <t>93.4 ± 2.0</t>
  </si>
  <si>
    <t>84.6 ± 5.7</t>
  </si>
  <si>
    <t>86.7 ± 5.2</t>
  </si>
  <si>
    <t>88.7 ± 0.0</t>
  </si>
  <si>
    <t>86.4 ± 3.2</t>
  </si>
  <si>
    <t>97.7 ± 3.0</t>
  </si>
  <si>
    <t>97.3 ± 0.4</t>
  </si>
  <si>
    <t>97.8 ± 0.0</t>
  </si>
  <si>
    <t>64.7 ± 0.1</t>
  </si>
  <si>
    <t>98.5 ± 0.0</t>
  </si>
  <si>
    <t>99.1 ± 0.2</t>
  </si>
  <si>
    <r>
      <t xml:space="preserve">99.0 </t>
    </r>
    <r>
      <rPr>
        <sz val="12"/>
        <color rgb="FF000000"/>
        <rFont val="Calibri"/>
        <family val="2"/>
      </rPr>
      <t xml:space="preserve">± </t>
    </r>
    <r>
      <rPr>
        <sz val="12"/>
        <color rgb="FF000000"/>
        <rFont val="Times New Roman"/>
        <family val="1"/>
      </rPr>
      <t>0.13</t>
    </r>
  </si>
  <si>
    <t>Nanostone NF4</t>
  </si>
  <si>
    <t>Nanostone NF4 (1R)</t>
  </si>
  <si>
    <t>Nanostone NF4 (2R)</t>
  </si>
  <si>
    <t>FNNDP, psi</t>
  </si>
  <si>
    <r>
      <t>Table 2 - Weight percentage, molality, osmolality and osmotic pressure of different CHP-H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CO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solutions at room temperature</t>
    </r>
  </si>
  <si>
    <r>
      <t>Table 3</t>
    </r>
    <r>
      <rPr>
        <sz val="12"/>
        <color theme="1"/>
        <rFont val="Times New Roman"/>
        <family val="1"/>
      </rPr>
      <t>. Summary of all the membrane experiments</t>
    </r>
  </si>
  <si>
    <t>Table 4. Operating range and manufacturer specified salt rejection of some selected membranes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</si>
</sst>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%"/>
  </numFmts>
  <fonts count="2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.65"/>
      <color theme="1"/>
      <name val="Calibri"/>
      <family val="2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vertAlign val="superscript"/>
      <sz val="11"/>
      <color rgb="FFFF0000"/>
      <name val="Times New Roman"/>
      <family val="1"/>
    </font>
    <font>
      <sz val="11"/>
      <color rgb="FFFF0000"/>
      <name val="Calibri"/>
      <family val="2"/>
    </font>
    <font>
      <sz val="12.65"/>
      <color rgb="FFFF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 applyAlignment="1"/>
    <xf numFmtId="164" fontId="0" fillId="0" borderId="0" xfId="0" applyNumberFormat="1"/>
    <xf numFmtId="164" fontId="0" fillId="2" borderId="0" xfId="0" applyNumberForma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0" fontId="0" fillId="0" borderId="0" xfId="0" applyNumberFormat="1"/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0" fillId="2" borderId="0" xfId="0" quotePrefix="1" applyNumberFormat="1" applyFont="1" applyFill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2" fontId="0" fillId="0" borderId="0" xfId="0" applyNumberFormat="1"/>
    <xf numFmtId="2" fontId="6" fillId="0" borderId="6" xfId="0" applyNumberFormat="1" applyFont="1" applyBorder="1"/>
    <xf numFmtId="0" fontId="11" fillId="0" borderId="0" xfId="0" applyFont="1" applyFill="1"/>
    <xf numFmtId="0" fontId="0" fillId="0" borderId="0" xfId="0" applyNumberFormat="1"/>
    <xf numFmtId="0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1" fontId="0" fillId="0" borderId="0" xfId="0" applyNumberFormat="1" applyFont="1" applyFill="1"/>
    <xf numFmtId="10" fontId="0" fillId="0" borderId="0" xfId="1" applyNumberFormat="1" applyFont="1" applyFill="1"/>
    <xf numFmtId="1" fontId="0" fillId="0" borderId="0" xfId="0" applyNumberFormat="1"/>
    <xf numFmtId="165" fontId="0" fillId="0" borderId="0" xfId="0" applyNumberFormat="1"/>
    <xf numFmtId="0" fontId="7" fillId="3" borderId="0" xfId="0" applyFont="1" applyFill="1" applyAlignment="1">
      <alignment horizontal="center" wrapText="1"/>
    </xf>
    <xf numFmtId="2" fontId="0" fillId="0" borderId="6" xfId="0" applyNumberFormat="1" applyBorder="1"/>
    <xf numFmtId="2" fontId="4" fillId="0" borderId="6" xfId="0" applyNumberFormat="1" applyFont="1" applyBorder="1" applyAlignment="1">
      <alignment horizontal="center"/>
    </xf>
    <xf numFmtId="10" fontId="0" fillId="0" borderId="6" xfId="0" applyNumberFormat="1" applyBorder="1"/>
    <xf numFmtId="2" fontId="2" fillId="0" borderId="0" xfId="0" applyNumberFormat="1" applyFont="1"/>
    <xf numFmtId="0" fontId="15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Fill="1"/>
    <xf numFmtId="0" fontId="15" fillId="0" borderId="0" xfId="0" applyFont="1" applyFill="1"/>
    <xf numFmtId="10" fontId="15" fillId="0" borderId="0" xfId="0" applyNumberFormat="1" applyFont="1"/>
    <xf numFmtId="164" fontId="15" fillId="0" borderId="0" xfId="0" applyNumberFormat="1" applyFont="1"/>
    <xf numFmtId="0" fontId="15" fillId="0" borderId="0" xfId="0" applyNumberFormat="1" applyFont="1" applyFill="1"/>
    <xf numFmtId="1" fontId="15" fillId="0" borderId="0" xfId="0" applyNumberFormat="1" applyFont="1" applyFill="1"/>
    <xf numFmtId="10" fontId="15" fillId="0" borderId="0" xfId="1" applyNumberFormat="1" applyFont="1" applyFill="1"/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6" fillId="3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center" vertical="justify" wrapText="1"/>
    </xf>
    <xf numFmtId="0" fontId="6" fillId="3" borderId="5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49707623717061"/>
          <c:y val="2.2281192600358699E-2"/>
          <c:w val="0.70953656330236525"/>
          <c:h val="0.5603870016635818"/>
        </c:manualLayout>
      </c:layout>
      <c:barChart>
        <c:barDir val="col"/>
        <c:grouping val="clustered"/>
        <c:varyColors val="0"/>
        <c:ser>
          <c:idx val="0"/>
          <c:order val="0"/>
          <c:tx>
            <c:v>Flux normalized net driving pressure</c:v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'Figure 3'!$E$19:$E$25</c:f>
                <c:numCache>
                  <c:formatCode>General</c:formatCode>
                  <c:ptCount val="7"/>
                  <c:pt idx="0">
                    <c:v>34.050125553410943</c:v>
                  </c:pt>
                  <c:pt idx="1">
                    <c:v>17.9427248996816</c:v>
                  </c:pt>
                  <c:pt idx="3">
                    <c:v>18.052226009967594</c:v>
                  </c:pt>
                  <c:pt idx="4">
                    <c:v>75.355796788225163</c:v>
                  </c:pt>
                  <c:pt idx="5">
                    <c:v>0</c:v>
                  </c:pt>
                  <c:pt idx="6">
                    <c:v>43.853916292443898</c:v>
                  </c:pt>
                </c:numCache>
              </c:numRef>
            </c:plus>
            <c:minus>
              <c:numRef>
                <c:f>'Figure 3'!$E$19:$E$25</c:f>
                <c:numCache>
                  <c:formatCode>General</c:formatCode>
                  <c:ptCount val="7"/>
                  <c:pt idx="0">
                    <c:v>34.050125553410943</c:v>
                  </c:pt>
                  <c:pt idx="1">
                    <c:v>17.9427248996816</c:v>
                  </c:pt>
                  <c:pt idx="3">
                    <c:v>18.052226009967594</c:v>
                  </c:pt>
                  <c:pt idx="4">
                    <c:v>75.355796788225163</c:v>
                  </c:pt>
                  <c:pt idx="5">
                    <c:v>0</c:v>
                  </c:pt>
                  <c:pt idx="6">
                    <c:v>43.853916292443898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strRef>
              <c:f>'Figure 3'!$A$19:$A$25</c:f>
              <c:strCache>
                <c:ptCount val="7"/>
                <c:pt idx="0">
                  <c:v>DOW FILMTEC NF90</c:v>
                </c:pt>
                <c:pt idx="1">
                  <c:v>DOW FILMTEC NF270</c:v>
                </c:pt>
                <c:pt idx="2">
                  <c:v>GE Osmonics Duracid</c:v>
                </c:pt>
                <c:pt idx="3">
                  <c:v>GE Osmonics DK</c:v>
                </c:pt>
                <c:pt idx="4">
                  <c:v>GE Osmonics DL</c:v>
                </c:pt>
                <c:pt idx="5">
                  <c:v>GE Osmonics CK</c:v>
                </c:pt>
                <c:pt idx="6">
                  <c:v>Nanostone NF4</c:v>
                </c:pt>
              </c:strCache>
            </c:strRef>
          </c:cat>
          <c:val>
            <c:numRef>
              <c:f>'Figure 3'!$D$19:$D$25</c:f>
              <c:numCache>
                <c:formatCode>0.00</c:formatCode>
                <c:ptCount val="7"/>
                <c:pt idx="0">
                  <c:v>245.21150904712934</c:v>
                </c:pt>
                <c:pt idx="1">
                  <c:v>83.240601226703603</c:v>
                </c:pt>
                <c:pt idx="3">
                  <c:v>170.11841891717484</c:v>
                </c:pt>
                <c:pt idx="4">
                  <c:v>174.6237108713311</c:v>
                </c:pt>
                <c:pt idx="5">
                  <c:v>244.18554391409626</c:v>
                </c:pt>
                <c:pt idx="6">
                  <c:v>171.79964831033561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32608"/>
        <c:axId val="115334528"/>
      </c:barChart>
      <c:scatterChart>
        <c:scatterStyle val="lineMarker"/>
        <c:varyColors val="0"/>
        <c:ser>
          <c:idx val="1"/>
          <c:order val="1"/>
          <c:tx>
            <c:v>Flux normalized rejection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 w="12700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3'!$C$19:$C$25</c:f>
                <c:numCache>
                  <c:formatCode>General</c:formatCode>
                  <c:ptCount val="7"/>
                  <c:pt idx="0">
                    <c:v>2.0000603141262165E-3</c:v>
                  </c:pt>
                  <c:pt idx="1">
                    <c:v>0.12068256716970602</c:v>
                  </c:pt>
                  <c:pt idx="3">
                    <c:v>5.2754204788916813E-2</c:v>
                  </c:pt>
                  <c:pt idx="4">
                    <c:v>5.6770832759556931E-2</c:v>
                  </c:pt>
                  <c:pt idx="5">
                    <c:v>0</c:v>
                  </c:pt>
                  <c:pt idx="6">
                    <c:v>1.9544292452182182E-2</c:v>
                  </c:pt>
                </c:numCache>
              </c:numRef>
            </c:plus>
            <c:minus>
              <c:numRef>
                <c:f>'Figure 3'!$C$19:$C$25</c:f>
                <c:numCache>
                  <c:formatCode>General</c:formatCode>
                  <c:ptCount val="7"/>
                  <c:pt idx="0">
                    <c:v>2.0000603141262165E-3</c:v>
                  </c:pt>
                  <c:pt idx="1">
                    <c:v>0.12068256716970602</c:v>
                  </c:pt>
                  <c:pt idx="3">
                    <c:v>5.2754204788916813E-2</c:v>
                  </c:pt>
                  <c:pt idx="4">
                    <c:v>5.6770832759556931E-2</c:v>
                  </c:pt>
                  <c:pt idx="5">
                    <c:v>0</c:v>
                  </c:pt>
                  <c:pt idx="6">
                    <c:v>1.9544292452182182E-2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strRef>
              <c:f>'Figure 3'!$A$19:$A$25</c:f>
              <c:strCache>
                <c:ptCount val="7"/>
                <c:pt idx="0">
                  <c:v>DOW FILMTEC NF90</c:v>
                </c:pt>
                <c:pt idx="1">
                  <c:v>DOW FILMTEC NF270</c:v>
                </c:pt>
                <c:pt idx="2">
                  <c:v>GE Osmonics Duracid</c:v>
                </c:pt>
                <c:pt idx="3">
                  <c:v>GE Osmonics DK</c:v>
                </c:pt>
                <c:pt idx="4">
                  <c:v>GE Osmonics DL</c:v>
                </c:pt>
                <c:pt idx="5">
                  <c:v>GE Osmonics CK</c:v>
                </c:pt>
                <c:pt idx="6">
                  <c:v>Nanostone NF4</c:v>
                </c:pt>
              </c:strCache>
            </c:strRef>
          </c:xVal>
          <c:yVal>
            <c:numRef>
              <c:f>'Figure 3'!$B$19:$B$25</c:f>
              <c:numCache>
                <c:formatCode>0.00%</c:formatCode>
                <c:ptCount val="7"/>
                <c:pt idx="0">
                  <c:v>0.99109590390613311</c:v>
                </c:pt>
                <c:pt idx="1">
                  <c:v>0.64733982133122492</c:v>
                </c:pt>
                <c:pt idx="3">
                  <c:v>0.86696565625544664</c:v>
                </c:pt>
                <c:pt idx="4">
                  <c:v>0.84581908066825262</c:v>
                </c:pt>
                <c:pt idx="5">
                  <c:v>0.88730284712074425</c:v>
                </c:pt>
                <c:pt idx="6">
                  <c:v>0.93438849026506121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42720"/>
        <c:axId val="115340800"/>
      </c:scatterChart>
      <c:catAx>
        <c:axId val="11533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NF membranes</a:t>
                </a:r>
              </a:p>
            </c:rich>
          </c:tx>
          <c:layout>
            <c:manualLayout>
              <c:xMode val="edge"/>
              <c:yMode val="edge"/>
              <c:x val="0.37318239631810729"/>
              <c:y val="0.9045039614455279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5334528"/>
        <c:crosses val="autoZero"/>
        <c:auto val="1"/>
        <c:lblAlgn val="ctr"/>
        <c:lblOffset val="100"/>
        <c:noMultiLvlLbl val="0"/>
      </c:catAx>
      <c:valAx>
        <c:axId val="115334528"/>
        <c:scaling>
          <c:orientation val="minMax"/>
          <c:max val="31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 algn="ctr" rtl="0">
                  <a:defRPr/>
                </a:pPr>
                <a:r>
                  <a:rPr lang="en-US"/>
                  <a:t>FNNDP, psi</a:t>
                </a:r>
              </a:p>
            </c:rich>
          </c:tx>
          <c:layout>
            <c:manualLayout>
              <c:xMode val="edge"/>
              <c:yMode val="edge"/>
              <c:x val="7.1216464511457352E-5"/>
              <c:y val="0.2116853575121291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15332608"/>
        <c:crosses val="autoZero"/>
        <c:crossBetween val="between"/>
        <c:majorUnit val="60"/>
      </c:valAx>
      <c:valAx>
        <c:axId val="115340800"/>
        <c:scaling>
          <c:orientation val="minMax"/>
          <c:max val="1.0249999999999999"/>
          <c:min val="0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FNR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en-US"/>
          </a:p>
        </c:txPr>
        <c:crossAx val="115342720"/>
        <c:crosses val="max"/>
        <c:crossBetween val="midCat"/>
        <c:majorUnit val="0.1"/>
      </c:valAx>
      <c:valAx>
        <c:axId val="11534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5340800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"/>
          <c:y val="0.94457132791156828"/>
          <c:w val="0.98541211130168538"/>
          <c:h val="4.1132128598867668E-2"/>
        </c:manualLayout>
      </c:layout>
      <c:overlay val="0"/>
      <c:spPr>
        <a:ln w="12700"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67471582116899"/>
          <c:y val="2.2281192600358699E-2"/>
          <c:w val="0.68406084574210269"/>
          <c:h val="0.7911281536993936"/>
        </c:manualLayout>
      </c:layout>
      <c:scatterChart>
        <c:scatterStyle val="lineMarker"/>
        <c:varyColors val="0"/>
        <c:ser>
          <c:idx val="0"/>
          <c:order val="0"/>
          <c:tx>
            <c:v>Flux normalized net driving pressure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3"/>
            <c:bubble3D val="0"/>
          </c:dPt>
          <c:xVal>
            <c:numRef>
              <c:f>'Figure 4&amp;5'!$D$45:$D$49</c:f>
              <c:numCache>
                <c:formatCode>General</c:formatCode>
                <c:ptCount val="5"/>
                <c:pt idx="0">
                  <c:v>1.8</c:v>
                </c:pt>
                <c:pt idx="1">
                  <c:v>2.5</c:v>
                </c:pt>
                <c:pt idx="2">
                  <c:v>3.2</c:v>
                </c:pt>
                <c:pt idx="3">
                  <c:v>4</c:v>
                </c:pt>
                <c:pt idx="4">
                  <c:v>4.8</c:v>
                </c:pt>
              </c:numCache>
            </c:numRef>
          </c:xVal>
          <c:yVal>
            <c:numRef>
              <c:f>'Figure 4&amp;5'!$N$45:$N$49</c:f>
              <c:numCache>
                <c:formatCode>General</c:formatCode>
                <c:ptCount val="5"/>
                <c:pt idx="0" formatCode="0">
                  <c:v>104.86651456210446</c:v>
                </c:pt>
                <c:pt idx="1">
                  <c:v>130.38999999999999</c:v>
                </c:pt>
                <c:pt idx="2" formatCode="0">
                  <c:v>215.13015444501445</c:v>
                </c:pt>
                <c:pt idx="3">
                  <c:v>241.99485852638722</c:v>
                </c:pt>
                <c:pt idx="4" formatCode="0">
                  <c:v>366.7988646118099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71616"/>
        <c:axId val="116673920"/>
      </c:scatterChart>
      <c:scatterChart>
        <c:scatterStyle val="lineMarker"/>
        <c:varyColors val="0"/>
        <c:ser>
          <c:idx val="1"/>
          <c:order val="1"/>
          <c:tx>
            <c:v>flux normalized rejection</c:v>
          </c:tx>
          <c:spPr>
            <a:ln w="28575">
              <a:noFill/>
            </a:ln>
          </c:spPr>
          <c:marker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'Figure 4&amp;5'!$D$45:$D$49</c:f>
              <c:numCache>
                <c:formatCode>General</c:formatCode>
                <c:ptCount val="5"/>
                <c:pt idx="0">
                  <c:v>1.8</c:v>
                </c:pt>
                <c:pt idx="1">
                  <c:v>2.5</c:v>
                </c:pt>
                <c:pt idx="2">
                  <c:v>3.2</c:v>
                </c:pt>
                <c:pt idx="3">
                  <c:v>4</c:v>
                </c:pt>
                <c:pt idx="4">
                  <c:v>4.8</c:v>
                </c:pt>
              </c:numCache>
            </c:numRef>
          </c:xVal>
          <c:yVal>
            <c:numRef>
              <c:f>'Figure 4&amp;5'!$P$45:$P$49</c:f>
              <c:numCache>
                <c:formatCode>General</c:formatCode>
                <c:ptCount val="5"/>
                <c:pt idx="0" formatCode="0.00%">
                  <c:v>0.97707628711010897</c:v>
                </c:pt>
                <c:pt idx="1">
                  <c:v>0.98529999999999995</c:v>
                </c:pt>
                <c:pt idx="2" formatCode="0.00%">
                  <c:v>0.94883673954389725</c:v>
                </c:pt>
                <c:pt idx="3">
                  <c:v>0.98113762527381887</c:v>
                </c:pt>
                <c:pt idx="4" formatCode="0.00%">
                  <c:v>0.97801830907336562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90304"/>
        <c:axId val="116688384"/>
      </c:scatterChart>
      <c:valAx>
        <c:axId val="116671616"/>
        <c:scaling>
          <c:orientation val="minMax"/>
          <c:max val="5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CHP-H</a:t>
                </a:r>
                <a:r>
                  <a:rPr lang="en-US" b="1" baseline="-25000"/>
                  <a:t>2</a:t>
                </a:r>
                <a:r>
                  <a:rPr lang="en-US" b="1"/>
                  <a:t>CO</a:t>
                </a:r>
                <a:r>
                  <a:rPr lang="en-US" b="1" baseline="-25000"/>
                  <a:t>3</a:t>
                </a:r>
                <a:r>
                  <a:rPr lang="en-US" b="1"/>
                  <a:t> concentration, wt %</a:t>
                </a:r>
              </a:p>
            </c:rich>
          </c:tx>
          <c:layout>
            <c:manualLayout>
              <c:xMode val="edge"/>
              <c:yMode val="edge"/>
              <c:x val="0.25589770728760736"/>
              <c:y val="0.8809080062564907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b="1"/>
            </a:pPr>
            <a:endParaRPr lang="en-US"/>
          </a:p>
        </c:txPr>
        <c:crossAx val="116673920"/>
        <c:crosses val="autoZero"/>
        <c:crossBetween val="midCat"/>
        <c:majorUnit val="1"/>
      </c:valAx>
      <c:valAx>
        <c:axId val="116673920"/>
        <c:scaling>
          <c:orientation val="minMax"/>
          <c:max val="42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FNNDP, psi</a:t>
                </a:r>
              </a:p>
            </c:rich>
          </c:tx>
          <c:layout>
            <c:manualLayout>
              <c:xMode val="edge"/>
              <c:yMode val="edge"/>
              <c:x val="7.1247839946439717E-5"/>
              <c:y val="0.287282483339292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16671616"/>
        <c:crosses val="autoZero"/>
        <c:crossBetween val="midCat"/>
        <c:majorUnit val="100"/>
      </c:valAx>
      <c:valAx>
        <c:axId val="116688384"/>
        <c:scaling>
          <c:orientation val="minMax"/>
          <c:max val="1.0249999999999999"/>
          <c:min val="0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FNR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b="1">
                <a:solidFill>
                  <a:srgbClr val="FF0000"/>
                </a:solidFill>
              </a:defRPr>
            </a:pPr>
            <a:endParaRPr lang="en-US"/>
          </a:p>
        </c:txPr>
        <c:crossAx val="116690304"/>
        <c:crosses val="max"/>
        <c:crossBetween val="midCat"/>
        <c:majorUnit val="0.1"/>
      </c:valAx>
      <c:valAx>
        <c:axId val="11669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688384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054266562933579E-3"/>
          <c:y val="0.94145627834357581"/>
          <c:w val="0.99164770871443653"/>
          <c:h val="4.7835172664812582E-2"/>
        </c:manualLayout>
      </c:layout>
      <c:overlay val="0"/>
      <c:spPr>
        <a:ln w="12700"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742407199099"/>
          <c:y val="1.6685597916079698E-2"/>
          <c:w val="0.68215574615673036"/>
          <c:h val="0.53725075867760541"/>
        </c:manualLayout>
      </c:layout>
      <c:barChart>
        <c:barDir val="col"/>
        <c:grouping val="clustered"/>
        <c:varyColors val="0"/>
        <c:ser>
          <c:idx val="0"/>
          <c:order val="0"/>
          <c:tx>
            <c:v>Flux normalized net driving pressure</c:v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f>'Figure 4&amp;5'!$Z$3:$Z$5</c:f>
                <c:numCache>
                  <c:formatCode>General</c:formatCode>
                  <c:ptCount val="3"/>
                  <c:pt idx="0">
                    <c:v>27.681093589918916</c:v>
                  </c:pt>
                  <c:pt idx="1">
                    <c:v>102.53358530110212</c:v>
                  </c:pt>
                  <c:pt idx="2">
                    <c:v>57.956862131143609</c:v>
                  </c:pt>
                </c:numCache>
              </c:numRef>
            </c:plus>
            <c:minus>
              <c:numRef>
                <c:f>'Figure 4&amp;5'!$Z$3:$Z$5</c:f>
                <c:numCache>
                  <c:formatCode>General</c:formatCode>
                  <c:ptCount val="3"/>
                  <c:pt idx="0">
                    <c:v>27.681093589918916</c:v>
                  </c:pt>
                  <c:pt idx="1">
                    <c:v>102.53358530110212</c:v>
                  </c:pt>
                  <c:pt idx="2">
                    <c:v>57.956862131143609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strRef>
              <c:f>'Figure 4&amp;5'!$V$3:$V$5</c:f>
              <c:strCache>
                <c:ptCount val="3"/>
                <c:pt idx="0">
                  <c:v>GE Osmonics DL</c:v>
                </c:pt>
                <c:pt idx="1">
                  <c:v>DOW FILMTEC NF270</c:v>
                </c:pt>
                <c:pt idx="2">
                  <c:v>DOW FILMTEC NF90</c:v>
                </c:pt>
              </c:strCache>
            </c:strRef>
          </c:cat>
          <c:val>
            <c:numRef>
              <c:f>'Figure 4&amp;5'!$Y$3:$Y$5</c:f>
              <c:numCache>
                <c:formatCode>0.00</c:formatCode>
                <c:ptCount val="3"/>
                <c:pt idx="0">
                  <c:v>200.80587558133183</c:v>
                </c:pt>
                <c:pt idx="1">
                  <c:v>234.16818177011308</c:v>
                </c:pt>
                <c:pt idx="2">
                  <c:v>241.99485852638722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16947200"/>
        <c:axId val="116789248"/>
      </c:barChart>
      <c:scatterChart>
        <c:scatterStyle val="lineMarker"/>
        <c:varyColors val="0"/>
        <c:ser>
          <c:idx val="1"/>
          <c:order val="1"/>
          <c:tx>
            <c:v>Flux normalized rejection</c:v>
          </c:tx>
          <c:spPr>
            <a:ln w="28575">
              <a:noFill/>
            </a:ln>
          </c:spPr>
          <c:marker>
            <c:spPr>
              <a:noFill/>
              <a:ln w="1270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pattFill prst="dkUpDiag">
                  <a:fgClr>
                    <a:schemeClr val="tx1"/>
                  </a:fgClr>
                  <a:bgClr>
                    <a:schemeClr val="bg1"/>
                  </a:bgClr>
                </a:pattFill>
                <a:ln w="12700">
                  <a:solidFill>
                    <a:srgbClr val="FF0000"/>
                  </a:solidFill>
                </a:ln>
              </c:spPr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'Figure 4&amp;5'!$X$3:$X$5</c:f>
                <c:numCache>
                  <c:formatCode>General</c:formatCode>
                  <c:ptCount val="3"/>
                  <c:pt idx="0">
                    <c:v>2.2782866146276195E-2</c:v>
                  </c:pt>
                  <c:pt idx="1">
                    <c:v>0.19670491008331731</c:v>
                  </c:pt>
                  <c:pt idx="2">
                    <c:v>1.88234950832139E-2</c:v>
                  </c:pt>
                </c:numCache>
              </c:numRef>
            </c:plus>
            <c:minus>
              <c:numRef>
                <c:f>'Figure 4&amp;5'!$X$3:$X$5</c:f>
                <c:numCache>
                  <c:formatCode>General</c:formatCode>
                  <c:ptCount val="3"/>
                  <c:pt idx="0">
                    <c:v>2.2782866146276195E-2</c:v>
                  </c:pt>
                  <c:pt idx="1">
                    <c:v>0.19670491008331731</c:v>
                  </c:pt>
                  <c:pt idx="2">
                    <c:v>1.88234950832139E-2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'Figure 4&amp;5'!$V$3:$V$5</c:f>
              <c:strCache>
                <c:ptCount val="3"/>
                <c:pt idx="0">
                  <c:v>GE Osmonics DL</c:v>
                </c:pt>
                <c:pt idx="1">
                  <c:v>DOW FILMTEC NF270</c:v>
                </c:pt>
                <c:pt idx="2">
                  <c:v>DOW FILMTEC NF90</c:v>
                </c:pt>
              </c:strCache>
            </c:strRef>
          </c:xVal>
          <c:yVal>
            <c:numRef>
              <c:f>'Figure 4&amp;5'!$W$3:$W$5</c:f>
              <c:numCache>
                <c:formatCode>0.00%</c:formatCode>
                <c:ptCount val="3"/>
                <c:pt idx="0">
                  <c:v>0.90003987234882621</c:v>
                </c:pt>
                <c:pt idx="1">
                  <c:v>0.63976549897242896</c:v>
                </c:pt>
                <c:pt idx="2">
                  <c:v>0.98113762527381887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93344"/>
        <c:axId val="116791168"/>
      </c:scatterChart>
      <c:catAx>
        <c:axId val="1169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/>
            </a:pPr>
            <a:endParaRPr lang="en-US"/>
          </a:p>
        </c:txPr>
        <c:crossAx val="116789248"/>
        <c:crosses val="autoZero"/>
        <c:auto val="1"/>
        <c:lblAlgn val="ctr"/>
        <c:lblOffset val="100"/>
        <c:noMultiLvlLbl val="0"/>
      </c:catAx>
      <c:valAx>
        <c:axId val="116789248"/>
        <c:scaling>
          <c:orientation val="minMax"/>
          <c:max val="367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u="none" strike="noStrike" baseline="0">
                    <a:effectLst/>
                  </a:rPr>
                  <a:t>FNNDP, psi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9191976002999621E-4"/>
              <c:y val="0.182718763928093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16947200"/>
        <c:crosses val="autoZero"/>
        <c:crossBetween val="between"/>
        <c:majorUnit val="50"/>
      </c:valAx>
      <c:valAx>
        <c:axId val="116791168"/>
        <c:scaling>
          <c:orientation val="minMax"/>
          <c:max val="1.0249999999999999"/>
          <c:min val="0.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FNR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b="1">
                <a:solidFill>
                  <a:srgbClr val="FF0000"/>
                </a:solidFill>
              </a:defRPr>
            </a:pPr>
            <a:endParaRPr lang="en-US"/>
          </a:p>
        </c:txPr>
        <c:crossAx val="116793344"/>
        <c:crosses val="max"/>
        <c:crossBetween val="midCat"/>
        <c:majorUnit val="0.1"/>
      </c:valAx>
      <c:valAx>
        <c:axId val="116793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6791168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1.4368944266205223E-2"/>
          <c:y val="0.94398371909774781"/>
          <c:w val="0.9821428571428571"/>
          <c:h val="4.4599249473981042E-2"/>
        </c:manualLayout>
      </c:layout>
      <c:overlay val="0"/>
      <c:spPr>
        <a:ln w="12700"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742407199099"/>
          <c:y val="3.5204233141197187E-2"/>
          <c:w val="0.68215574615673036"/>
          <c:h val="0.51966586070614662"/>
        </c:manualLayout>
      </c:layout>
      <c:barChart>
        <c:barDir val="col"/>
        <c:grouping val="clustered"/>
        <c:varyColors val="0"/>
        <c:ser>
          <c:idx val="0"/>
          <c:order val="0"/>
          <c:tx>
            <c:v>Flux normalized net driving pressure</c:v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'Figure 6'!$K$26:$K$30</c:f>
                <c:numCache>
                  <c:formatCode>General</c:formatCode>
                  <c:ptCount val="5"/>
                  <c:pt idx="0">
                    <c:v>10.131249398760792</c:v>
                  </c:pt>
                  <c:pt idx="1">
                    <c:v>14.057380124750035</c:v>
                  </c:pt>
                  <c:pt idx="2">
                    <c:v>14.28841957250363</c:v>
                  </c:pt>
                  <c:pt idx="3">
                    <c:v>37.591460998510655</c:v>
                  </c:pt>
                  <c:pt idx="4">
                    <c:v>0</c:v>
                  </c:pt>
                </c:numCache>
              </c:numRef>
            </c:plus>
            <c:minus>
              <c:numRef>
                <c:f>'Figure 6'!$K$26:$K$30</c:f>
                <c:numCache>
                  <c:formatCode>General</c:formatCode>
                  <c:ptCount val="5"/>
                  <c:pt idx="0">
                    <c:v>10.131249398760792</c:v>
                  </c:pt>
                  <c:pt idx="1">
                    <c:v>14.057380124750035</c:v>
                  </c:pt>
                  <c:pt idx="2">
                    <c:v>14.28841957250363</c:v>
                  </c:pt>
                  <c:pt idx="3">
                    <c:v>37.591460998510655</c:v>
                  </c:pt>
                  <c:pt idx="4">
                    <c:v>0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strRef>
              <c:f>'Figure 6'!$A$26:$A$30</c:f>
              <c:strCache>
                <c:ptCount val="5"/>
                <c:pt idx="0">
                  <c:v>Toray 73AC</c:v>
                </c:pt>
                <c:pt idx="1">
                  <c:v>Toray 73HA</c:v>
                </c:pt>
                <c:pt idx="2">
                  <c:v>TriSep ACM1</c:v>
                </c:pt>
                <c:pt idx="3">
                  <c:v>DOW FILMTEC BW30</c:v>
                </c:pt>
                <c:pt idx="4">
                  <c:v>DOW FILMTEC SW30XLE</c:v>
                </c:pt>
              </c:strCache>
            </c:strRef>
          </c:cat>
          <c:val>
            <c:numRef>
              <c:f>'Figure 6'!$J$26:$J$30</c:f>
              <c:numCache>
                <c:formatCode>0.00</c:formatCode>
                <c:ptCount val="5"/>
                <c:pt idx="0">
                  <c:v>823.27380520619181</c:v>
                </c:pt>
                <c:pt idx="1">
                  <c:v>277.80499467498902</c:v>
                </c:pt>
                <c:pt idx="2">
                  <c:v>660.52786153223315</c:v>
                </c:pt>
                <c:pt idx="3">
                  <c:v>336.82781086955862</c:v>
                </c:pt>
                <c:pt idx="4">
                  <c:v>480.09059847193197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16890240"/>
        <c:axId val="116900224"/>
      </c:barChart>
      <c:scatterChart>
        <c:scatterStyle val="lineMarker"/>
        <c:varyColors val="0"/>
        <c:ser>
          <c:idx val="1"/>
          <c:order val="1"/>
          <c:tx>
            <c:v>Flux normalized rejection</c:v>
          </c:tx>
          <c:spPr>
            <a:ln w="28575">
              <a:noFill/>
            </a:ln>
          </c:spPr>
          <c:marker>
            <c:spPr>
              <a:noFill/>
              <a:ln w="12700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6'!$I$26:$I$30</c:f>
                <c:numCache>
                  <c:formatCode>General</c:formatCode>
                  <c:ptCount val="5"/>
                  <c:pt idx="0">
                    <c:v>3.6127907036121064E-3</c:v>
                  </c:pt>
                  <c:pt idx="1">
                    <c:v>2.9587643947656589E-2</c:v>
                  </c:pt>
                  <c:pt idx="2">
                    <c:v>3.150116441540244E-2</c:v>
                  </c:pt>
                  <c:pt idx="3">
                    <c:v>1.2614260715340339E-3</c:v>
                  </c:pt>
                  <c:pt idx="4">
                    <c:v>0</c:v>
                  </c:pt>
                </c:numCache>
              </c:numRef>
            </c:plus>
            <c:minus>
              <c:numRef>
                <c:f>'Figure 6'!$I$26:$I$30</c:f>
                <c:numCache>
                  <c:formatCode>General</c:formatCode>
                  <c:ptCount val="5"/>
                  <c:pt idx="0">
                    <c:v>3.6127907036121064E-3</c:v>
                  </c:pt>
                  <c:pt idx="1">
                    <c:v>2.9587643947656589E-2</c:v>
                  </c:pt>
                  <c:pt idx="2">
                    <c:v>3.150116441540244E-2</c:v>
                  </c:pt>
                  <c:pt idx="3">
                    <c:v>1.2614260715340339E-3</c:v>
                  </c:pt>
                  <c:pt idx="4">
                    <c:v>0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</a:ln>
            </c:spPr>
          </c:errBars>
          <c:yVal>
            <c:numRef>
              <c:f>'Figure 6'!$H$26:$H$30</c:f>
              <c:numCache>
                <c:formatCode>0.00%</c:formatCode>
                <c:ptCount val="5"/>
                <c:pt idx="0">
                  <c:v>0.9732298082481774</c:v>
                </c:pt>
                <c:pt idx="1">
                  <c:v>0.97726283926108337</c:v>
                </c:pt>
                <c:pt idx="2">
                  <c:v>0.86375812794333084</c:v>
                </c:pt>
                <c:pt idx="3">
                  <c:v>0.9906747695060858</c:v>
                </c:pt>
                <c:pt idx="4">
                  <c:v>0.9478345446834201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08416"/>
        <c:axId val="116902144"/>
      </c:scatterChart>
      <c:catAx>
        <c:axId val="11689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/>
            </a:pPr>
            <a:endParaRPr lang="en-US"/>
          </a:p>
        </c:txPr>
        <c:crossAx val="116900224"/>
        <c:crosses val="autoZero"/>
        <c:auto val="1"/>
        <c:lblAlgn val="ctr"/>
        <c:lblOffset val="100"/>
        <c:noMultiLvlLbl val="0"/>
      </c:catAx>
      <c:valAx>
        <c:axId val="116900224"/>
        <c:scaling>
          <c:orientation val="minMax"/>
          <c:max val="105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u="none" strike="noStrike" baseline="0">
                    <a:effectLst/>
                  </a:rPr>
                  <a:t>FNNDP, psi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9191976002999621E-4"/>
              <c:y val="0.231446703490421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16890240"/>
        <c:crosses val="autoZero"/>
        <c:crossBetween val="between"/>
        <c:majorUnit val="200"/>
      </c:valAx>
      <c:valAx>
        <c:axId val="116902144"/>
        <c:scaling>
          <c:orientation val="minMax"/>
          <c:max val="1.0249999999999999"/>
          <c:min val="0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FNR</a:t>
                </a:r>
              </a:p>
            </c:rich>
          </c:tx>
          <c:layout>
            <c:manualLayout>
              <c:xMode val="edge"/>
              <c:yMode val="edge"/>
              <c:x val="0.95"/>
              <c:y val="0.2619181009453465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b="1">
                <a:solidFill>
                  <a:srgbClr val="FF0000"/>
                </a:solidFill>
              </a:defRPr>
            </a:pPr>
            <a:endParaRPr lang="en-US"/>
          </a:p>
        </c:txPr>
        <c:crossAx val="116908416"/>
        <c:crosses val="max"/>
        <c:crossBetween val="midCat"/>
        <c:majorUnit val="0.1"/>
      </c:valAx>
      <c:valAx>
        <c:axId val="1169084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reverse osmosis membranes</a:t>
                </a:r>
              </a:p>
            </c:rich>
          </c:tx>
          <c:layout>
            <c:manualLayout>
              <c:xMode val="edge"/>
              <c:yMode val="edge"/>
              <c:x val="0.26289195422934802"/>
              <c:y val="0.90254831604481156"/>
            </c:manualLayout>
          </c:layout>
          <c:overlay val="0"/>
        </c:title>
        <c:majorTickMark val="out"/>
        <c:minorTickMark val="none"/>
        <c:tickLblPos val="nextTo"/>
        <c:crossAx val="116902144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"/>
          <c:y val="0.94454156632931141"/>
          <c:w val="0.9821428571428571"/>
          <c:h val="4.4599249473981042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47662831454245"/>
          <c:y val="2.2985008229903466E-2"/>
          <c:w val="0.70714163874169822"/>
          <c:h val="0.46479459953869401"/>
        </c:manualLayout>
      </c:layout>
      <c:barChart>
        <c:barDir val="col"/>
        <c:grouping val="clustered"/>
        <c:varyColors val="0"/>
        <c:ser>
          <c:idx val="0"/>
          <c:order val="0"/>
          <c:tx>
            <c:v>Flux normalized net driving pressure</c:v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'Figure 7'!$K$21:$K$24</c:f>
                <c:numCache>
                  <c:formatCode>General</c:formatCode>
                  <c:ptCount val="4"/>
                  <c:pt idx="0">
                    <c:v>46.054739136797316</c:v>
                  </c:pt>
                  <c:pt idx="1">
                    <c:v>50.974716370966028</c:v>
                  </c:pt>
                  <c:pt idx="2">
                    <c:v>7.5402985125804118</c:v>
                  </c:pt>
                  <c:pt idx="3">
                    <c:v>36.132621440172656</c:v>
                  </c:pt>
                </c:numCache>
              </c:numRef>
            </c:plus>
            <c:minus>
              <c:numRef>
                <c:f>'Figure 7'!$K$21:$K$24</c:f>
                <c:numCache>
                  <c:formatCode>General</c:formatCode>
                  <c:ptCount val="4"/>
                  <c:pt idx="0">
                    <c:v>46.054739136797316</c:v>
                  </c:pt>
                  <c:pt idx="1">
                    <c:v>50.974716370966028</c:v>
                  </c:pt>
                  <c:pt idx="2">
                    <c:v>7.5402985125804118</c:v>
                  </c:pt>
                  <c:pt idx="3">
                    <c:v>36.132621440172656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strRef>
              <c:f>'Figure 7'!$A$21:$A$24</c:f>
              <c:strCache>
                <c:ptCount val="4"/>
                <c:pt idx="0">
                  <c:v>DOW FILMTEC NF90</c:v>
                </c:pt>
                <c:pt idx="1">
                  <c:v>DOW FILMTEC NF270</c:v>
                </c:pt>
                <c:pt idx="2">
                  <c:v>DOW FILMTEC BW30</c:v>
                </c:pt>
                <c:pt idx="3">
                  <c:v>DOW FILMTEC SW30</c:v>
                </c:pt>
              </c:strCache>
            </c:strRef>
          </c:cat>
          <c:val>
            <c:numRef>
              <c:f>'Figure 7'!$J$21:$J$24</c:f>
              <c:numCache>
                <c:formatCode>0</c:formatCode>
                <c:ptCount val="4"/>
                <c:pt idx="0">
                  <c:v>340.19279851714998</c:v>
                </c:pt>
                <c:pt idx="1">
                  <c:v>208.38872410929329</c:v>
                </c:pt>
                <c:pt idx="2">
                  <c:v>282.77055433105352</c:v>
                </c:pt>
                <c:pt idx="3">
                  <c:v>932.41189334463206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17305344"/>
        <c:axId val="117307264"/>
      </c:barChart>
      <c:scatterChart>
        <c:scatterStyle val="lineMarker"/>
        <c:varyColors val="0"/>
        <c:ser>
          <c:idx val="1"/>
          <c:order val="1"/>
          <c:tx>
            <c:v>Flux normalized rejection</c:v>
          </c:tx>
          <c:spPr>
            <a:ln w="28575">
              <a:noFill/>
            </a:ln>
          </c:spPr>
          <c:marker>
            <c:spPr>
              <a:noFill/>
              <a:ln w="12700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7'!$I$21:$I$24</c:f>
                <c:numCache>
                  <c:formatCode>General</c:formatCode>
                  <c:ptCount val="4"/>
                  <c:pt idx="0">
                    <c:v>2.1911320142289849E-3</c:v>
                  </c:pt>
                  <c:pt idx="1">
                    <c:v>9.8354991288860244E-2</c:v>
                  </c:pt>
                  <c:pt idx="2">
                    <c:v>6.7458058809266E-4</c:v>
                  </c:pt>
                  <c:pt idx="3">
                    <c:v>3.2963551904525374E-3</c:v>
                  </c:pt>
                </c:numCache>
              </c:numRef>
            </c:plus>
            <c:minus>
              <c:numRef>
                <c:f>'Figure 7'!$I$21:$I$24</c:f>
                <c:numCache>
                  <c:formatCode>General</c:formatCode>
                  <c:ptCount val="4"/>
                  <c:pt idx="0">
                    <c:v>2.1911320142289849E-3</c:v>
                  </c:pt>
                  <c:pt idx="1">
                    <c:v>9.8354991288860244E-2</c:v>
                  </c:pt>
                  <c:pt idx="2">
                    <c:v>6.7458058809266E-4</c:v>
                  </c:pt>
                  <c:pt idx="3">
                    <c:v>3.2963551904525374E-3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'Figure 7'!$A$21:$A$24</c:f>
              <c:strCache>
                <c:ptCount val="4"/>
                <c:pt idx="0">
                  <c:v>DOW FILMTEC NF90</c:v>
                </c:pt>
                <c:pt idx="1">
                  <c:v>DOW FILMTEC NF270</c:v>
                </c:pt>
                <c:pt idx="2">
                  <c:v>DOW FILMTEC BW30</c:v>
                </c:pt>
                <c:pt idx="3">
                  <c:v>DOW FILMTEC SW30</c:v>
                </c:pt>
              </c:strCache>
            </c:strRef>
          </c:xVal>
          <c:yVal>
            <c:numRef>
              <c:f>'Figure 7'!$H$21:$H$24</c:f>
              <c:numCache>
                <c:formatCode>0.000%</c:formatCode>
                <c:ptCount val="4"/>
                <c:pt idx="0">
                  <c:v>0.97439201159607025</c:v>
                </c:pt>
                <c:pt idx="1">
                  <c:v>0.74820143884892087</c:v>
                </c:pt>
                <c:pt idx="2">
                  <c:v>0.98290101410472253</c:v>
                </c:pt>
                <c:pt idx="3">
                  <c:v>0.97902924163851879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23648"/>
        <c:axId val="117321728"/>
      </c:scatterChart>
      <c:catAx>
        <c:axId val="11730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membranes</a:t>
                </a:r>
              </a:p>
            </c:rich>
          </c:tx>
          <c:layout>
            <c:manualLayout>
              <c:xMode val="edge"/>
              <c:yMode val="edge"/>
              <c:x val="0.40400779779866913"/>
              <c:y val="0.899093202201987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117307264"/>
        <c:crosses val="autoZero"/>
        <c:auto val="1"/>
        <c:lblAlgn val="ctr"/>
        <c:lblOffset val="100"/>
        <c:noMultiLvlLbl val="0"/>
      </c:catAx>
      <c:valAx>
        <c:axId val="117307264"/>
        <c:scaling>
          <c:orientation val="minMax"/>
          <c:max val="105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FNNDP, psi</a:t>
                </a:r>
                <a:endParaRPr lang="en-US" baseline="30000"/>
              </a:p>
            </c:rich>
          </c:tx>
          <c:layout>
            <c:manualLayout>
              <c:xMode val="edge"/>
              <c:yMode val="edge"/>
              <c:x val="2.7775020094844816E-3"/>
              <c:y val="0.1475137695856199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b="1"/>
            </a:pPr>
            <a:endParaRPr lang="en-US"/>
          </a:p>
        </c:txPr>
        <c:crossAx val="117305344"/>
        <c:crosses val="autoZero"/>
        <c:crossBetween val="between"/>
        <c:majorUnit val="200"/>
      </c:valAx>
      <c:valAx>
        <c:axId val="117321728"/>
        <c:scaling>
          <c:orientation val="minMax"/>
          <c:max val="1.0249999999999999"/>
          <c:min val="0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FNR</a:t>
                </a:r>
              </a:p>
            </c:rich>
          </c:tx>
          <c:layout>
            <c:manualLayout>
              <c:xMode val="edge"/>
              <c:yMode val="edge"/>
              <c:x val="0.9510822782372329"/>
              <c:y val="0.2167559551509961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b="1">
                <a:solidFill>
                  <a:srgbClr val="FF0000"/>
                </a:solidFill>
              </a:defRPr>
            </a:pPr>
            <a:endParaRPr lang="en-US"/>
          </a:p>
        </c:txPr>
        <c:crossAx val="117323648"/>
        <c:crosses val="max"/>
        <c:crossBetween val="midCat"/>
        <c:majorUnit val="0.1"/>
      </c:valAx>
      <c:valAx>
        <c:axId val="11732364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17321728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1.2945391534796015E-2"/>
          <c:y val="0.94919808682889772"/>
          <c:w val="0.97129133152325142"/>
          <c:h val="4.4309224461676656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25081532873646"/>
          <c:y val="2.2281192600358699E-2"/>
          <c:w val="0.70229631614174759"/>
          <c:h val="0.49623004450934416"/>
        </c:manualLayout>
      </c:layout>
      <c:barChart>
        <c:barDir val="col"/>
        <c:grouping val="clustered"/>
        <c:varyColors val="0"/>
        <c:ser>
          <c:idx val="0"/>
          <c:order val="0"/>
          <c:tx>
            <c:v>Flux normalized rejection</c:v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'Figure 8'!$V$16:$V$17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7.1966344339129931E-4</c:v>
                  </c:pt>
                </c:numCache>
              </c:numRef>
            </c:plus>
            <c:minus>
              <c:numRef>
                <c:f>'Figure 8'!$V$16:$V$17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7.1966344339129931E-4</c:v>
                  </c:pt>
                </c:numCache>
              </c:numRef>
            </c:minus>
            <c:spPr>
              <a:ln>
                <a:solidFill>
                  <a:schemeClr val="tx1"/>
                </a:solidFill>
              </a:ln>
            </c:spPr>
          </c:errBars>
          <c:cat>
            <c:strRef>
              <c:f>'Figure 8'!$P$16:$P$17</c:f>
              <c:strCache>
                <c:ptCount val="2"/>
                <c:pt idx="0">
                  <c:v>DOW FILMTEC NF90</c:v>
                </c:pt>
                <c:pt idx="1">
                  <c:v>DOW FILMTEC TW30</c:v>
                </c:pt>
              </c:strCache>
            </c:strRef>
          </c:cat>
          <c:val>
            <c:numRef>
              <c:f>'Figure 8'!$U$16:$U$17</c:f>
              <c:numCache>
                <c:formatCode>0.00</c:formatCode>
                <c:ptCount val="2"/>
                <c:pt idx="0">
                  <c:v>130.39027272945802</c:v>
                </c:pt>
                <c:pt idx="1">
                  <c:v>28.080126540819915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17365376"/>
        <c:axId val="116982528"/>
      </c:barChart>
      <c:scatterChart>
        <c:scatterStyle val="lineMarker"/>
        <c:varyColors val="0"/>
        <c:ser>
          <c:idx val="1"/>
          <c:order val="1"/>
          <c:tx>
            <c:v>Flux normalized net driving pressure</c:v>
          </c:tx>
          <c:spPr>
            <a:ln w="28575">
              <a:noFill/>
            </a:ln>
          </c:spPr>
          <c:marker>
            <c:spPr>
              <a:noFill/>
              <a:ln w="12700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8'!$Y$16:$Y$17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2.2118231887878541E-4</c:v>
                  </c:pt>
                </c:numCache>
              </c:numRef>
            </c:plus>
            <c:minus>
              <c:numRef>
                <c:f>'Figure 8'!$Y$16:$Y$17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2.2118231887878541E-4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strRef>
              <c:f>'Figure 8'!$A$6:$A$9</c:f>
              <c:strCache>
                <c:ptCount val="4"/>
                <c:pt idx="0">
                  <c:v>DOW FILMTEC NF90 M (R1)</c:v>
                </c:pt>
                <c:pt idx="1">
                  <c:v>DOW FILMTEC NF90 M (R2)</c:v>
                </c:pt>
                <c:pt idx="2">
                  <c:v>DOW FILMTEC NF90 M (R3)</c:v>
                </c:pt>
                <c:pt idx="3">
                  <c:v>DOW FILMTEC TW30 module</c:v>
                </c:pt>
              </c:strCache>
            </c:strRef>
          </c:xVal>
          <c:yVal>
            <c:numRef>
              <c:f>'Figure 8'!$X$16:$X$17</c:f>
              <c:numCache>
                <c:formatCode>0.00%</c:formatCode>
                <c:ptCount val="2"/>
                <c:pt idx="0">
                  <c:v>0.98526113425184247</c:v>
                </c:pt>
                <c:pt idx="1">
                  <c:v>0.97783495350313587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90720"/>
        <c:axId val="116984448"/>
      </c:scatterChart>
      <c:catAx>
        <c:axId val="11736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membranes</a:t>
                </a:r>
              </a:p>
            </c:rich>
          </c:tx>
          <c:layout>
            <c:manualLayout>
              <c:xMode val="edge"/>
              <c:yMode val="edge"/>
              <c:x val="0.40579921571561273"/>
              <c:y val="0.8641180203743757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116982528"/>
        <c:crosses val="autoZero"/>
        <c:auto val="1"/>
        <c:lblAlgn val="ctr"/>
        <c:lblOffset val="100"/>
        <c:noMultiLvlLbl val="0"/>
      </c:catAx>
      <c:valAx>
        <c:axId val="116982528"/>
        <c:scaling>
          <c:orientation val="minMax"/>
          <c:max val="15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 algn="ctr" rtl="0">
                  <a:defRPr/>
                </a:pPr>
                <a:r>
                  <a:rPr lang="en-US"/>
                  <a:t>FNNDP, psi</a:t>
                </a:r>
                <a:endParaRPr lang="en-US" baseline="30000"/>
              </a:p>
              <a:p>
                <a:pPr algn="ctr" rtl="0"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2.2079695487000166E-3"/>
              <c:y val="0.1478260370090027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17365376"/>
        <c:crosses val="autoZero"/>
        <c:crossBetween val="between"/>
        <c:majorUnit val="30"/>
      </c:valAx>
      <c:valAx>
        <c:axId val="116984448"/>
        <c:scaling>
          <c:orientation val="minMax"/>
          <c:max val="1.0249999999999999"/>
          <c:min val="0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FNR</a:t>
                </a:r>
              </a:p>
            </c:rich>
          </c:tx>
          <c:layout>
            <c:manualLayout>
              <c:xMode val="edge"/>
              <c:yMode val="edge"/>
              <c:x val="0.95332848281028526"/>
              <c:y val="0.2285641620002271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b="1">
                <a:solidFill>
                  <a:srgbClr val="FF0000"/>
                </a:solidFill>
              </a:defRPr>
            </a:pPr>
            <a:endParaRPr lang="en-US"/>
          </a:p>
        </c:txPr>
        <c:crossAx val="116990720"/>
        <c:crosses val="max"/>
        <c:crossBetween val="midCat"/>
        <c:majorUnit val="0.1"/>
      </c:valAx>
      <c:valAx>
        <c:axId val="11699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984448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8.0427386171064482E-3"/>
          <c:y val="0.93053727769261108"/>
          <c:w val="0.97823388025469249"/>
          <c:h val="6.147853130397285E-2"/>
        </c:manualLayout>
      </c:layout>
      <c:overlay val="0"/>
      <c:spPr>
        <a:ln w="12700"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25</xdr:row>
      <xdr:rowOff>180975</xdr:rowOff>
    </xdr:from>
    <xdr:to>
      <xdr:col>3</xdr:col>
      <xdr:colOff>1183005</xdr:colOff>
      <xdr:row>51</xdr:row>
      <xdr:rowOff>138430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51</xdr:row>
      <xdr:rowOff>0</xdr:rowOff>
    </xdr:from>
    <xdr:to>
      <xdr:col>4</xdr:col>
      <xdr:colOff>1304925</xdr:colOff>
      <xdr:row>69</xdr:row>
      <xdr:rowOff>128905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114300</xdr:colOff>
      <xdr:row>6</xdr:row>
      <xdr:rowOff>0</xdr:rowOff>
    </xdr:from>
    <xdr:to>
      <xdr:col>24</xdr:col>
      <xdr:colOff>552450</xdr:colOff>
      <xdr:row>28</xdr:row>
      <xdr:rowOff>180975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0.34828</cdr:x>
      <cdr:y>0.23291</cdr:y>
    </cdr:from>
    <cdr:to>
      <cdr:x>0.50248</cdr:x>
      <cdr:y>0.30519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28811" y="828682"/>
          <a:ext cx="721159" cy="257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module</a:t>
          </a:r>
        </a:p>
      </cdr:txBody>
    </cdr:sp>
  </cdr:relSizeAnchor>
  <cdr:relSizeAnchor xmlns:cdr="http://schemas.openxmlformats.org/drawingml/2006/chartDrawing">
    <cdr:from>
      <cdr:x>0.41881</cdr:x>
      <cdr:y>0.31323</cdr:y>
    </cdr:from>
    <cdr:to>
      <cdr:x>0.42108</cdr:x>
      <cdr:y>0.52472</cdr:y>
    </cdr:to>
    <cdr:cxnSp macro="">
      <cdr:nvCxnSpPr>
        <cdr:cNvPr id="4" name="Elbow Connector 3"/>
        <cdr:cNvCxnSpPr/>
      </cdr:nvCxnSpPr>
      <cdr:spPr>
        <a:xfrm xmlns:a="http://schemas.openxmlformats.org/drawingml/2006/main" flipH="1">
          <a:off x="1958680" y="1114443"/>
          <a:ext cx="10616" cy="75246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0.41654</cdr:x>
      <cdr:y>0.10084</cdr:y>
    </cdr:from>
    <cdr:to>
      <cdr:x>0.41806</cdr:x>
      <cdr:y>0.24629</cdr:y>
    </cdr:to>
    <cdr:cxnSp macro="">
      <cdr:nvCxnSpPr>
        <cdr:cNvPr id="9" name="Elbow Connector 8"/>
        <cdr:cNvCxnSpPr/>
      </cdr:nvCxnSpPr>
      <cdr:spPr>
        <a:xfrm xmlns:a="http://schemas.openxmlformats.org/drawingml/2006/main" flipV="1">
          <a:off x="1948064" y="358789"/>
          <a:ext cx="7108" cy="51749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32</xdr:row>
      <xdr:rowOff>0</xdr:rowOff>
    </xdr:from>
    <xdr:to>
      <xdr:col>9</xdr:col>
      <xdr:colOff>386080</xdr:colOff>
      <xdr:row>58</xdr:row>
      <xdr:rowOff>156845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25</xdr:row>
      <xdr:rowOff>19050</xdr:rowOff>
    </xdr:from>
    <xdr:to>
      <xdr:col>9</xdr:col>
      <xdr:colOff>161925</xdr:colOff>
      <xdr:row>47</xdr:row>
      <xdr:rowOff>66040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19</xdr:row>
      <xdr:rowOff>0</xdr:rowOff>
    </xdr:from>
    <xdr:to>
      <xdr:col>20</xdr:col>
      <xdr:colOff>447040</xdr:colOff>
      <xdr:row>35</xdr:row>
      <xdr:rowOff>85090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E45" sqref="E45"/>
    </sheetView>
  </sheetViews>
  <sheetFormatPr defaultRowHeight="15" x14ac:dyDescent="0.25"/>
  <cols>
    <col min="1" max="1" width="26" customWidth="1"/>
    <col min="2" max="2" width="35.28515625" customWidth="1"/>
    <col min="4" max="4" width="22.85546875" customWidth="1"/>
    <col min="5" max="5" width="31.85546875" customWidth="1"/>
    <col min="6" max="8" width="21.28515625" customWidth="1"/>
    <col min="11" max="11" width="26.42578125" customWidth="1"/>
    <col min="12" max="12" width="25.85546875" customWidth="1"/>
    <col min="13" max="13" width="13.85546875" customWidth="1"/>
  </cols>
  <sheetData>
    <row r="1" spans="1:15" ht="15.75" x14ac:dyDescent="0.25">
      <c r="A1" s="51" t="s">
        <v>111</v>
      </c>
      <c r="B1" s="51"/>
      <c r="C1" s="51"/>
      <c r="D1" s="51"/>
      <c r="E1" s="51"/>
      <c r="F1" s="51"/>
      <c r="G1" s="35"/>
      <c r="H1" s="35"/>
      <c r="L1">
        <v>20</v>
      </c>
      <c r="M1" t="s">
        <v>148</v>
      </c>
    </row>
    <row r="2" spans="1:15" ht="18.75" x14ac:dyDescent="0.3">
      <c r="C2" s="1"/>
      <c r="D2" s="15" t="s">
        <v>97</v>
      </c>
      <c r="E2" s="15" t="s">
        <v>100</v>
      </c>
      <c r="F2" s="15" t="s">
        <v>98</v>
      </c>
      <c r="G2" s="15" t="s">
        <v>149</v>
      </c>
      <c r="H2" s="15" t="s">
        <v>150</v>
      </c>
      <c r="I2" s="15" t="s">
        <v>128</v>
      </c>
      <c r="J2" s="26" t="s">
        <v>131</v>
      </c>
      <c r="K2" s="26" t="s">
        <v>129</v>
      </c>
      <c r="L2" s="26" t="s">
        <v>130</v>
      </c>
      <c r="M2" s="29" t="s">
        <v>134</v>
      </c>
      <c r="N2" s="29" t="s">
        <v>128</v>
      </c>
      <c r="O2" s="29" t="s">
        <v>105</v>
      </c>
    </row>
    <row r="3" spans="1:15" x14ac:dyDescent="0.25">
      <c r="A3" s="2" t="s">
        <v>6</v>
      </c>
      <c r="B3" s="2" t="s">
        <v>109</v>
      </c>
      <c r="D3">
        <v>9.1999999999999993</v>
      </c>
      <c r="E3">
        <f>D3/(150*0.06894)</f>
        <v>0.88966250846146389</v>
      </c>
      <c r="F3" s="3">
        <v>97.484084788007095</v>
      </c>
      <c r="G3" s="3">
        <v>150</v>
      </c>
      <c r="H3" s="24">
        <v>1.9734595319483572</v>
      </c>
      <c r="I3" s="9">
        <f>1-F3/100</f>
        <v>2.5159152119929029E-2</v>
      </c>
      <c r="J3" s="3">
        <f>((F3*H3/100)/229.2/(100-H3*F3/100)*1000)*694.2235-0.0596</f>
        <v>59.353614543065099</v>
      </c>
      <c r="K3" s="28">
        <f>(D3/1000/3600)/(G3*6894-J3*6894)</f>
        <v>4.0894373227386478E-12</v>
      </c>
      <c r="L3" s="30">
        <f>(D3/1000/3600)*I3/(1-I3)</f>
        <v>6.5954982408638126E-8</v>
      </c>
      <c r="M3" s="31">
        <f>(($L$1/1000/3600))/K3/6894</f>
        <v>197.05735968898892</v>
      </c>
      <c r="N3" s="32">
        <f>L3/($L$1/1000/3600+L3)</f>
        <v>1.1732608515668361E-2</v>
      </c>
      <c r="O3" s="9">
        <f>1-N3</f>
        <v>0.98826739148433163</v>
      </c>
    </row>
    <row r="4" spans="1:15" x14ac:dyDescent="0.25">
      <c r="A4" s="2" t="s">
        <v>7</v>
      </c>
      <c r="B4" s="2" t="s">
        <v>110</v>
      </c>
      <c r="D4">
        <v>6.1</v>
      </c>
      <c r="E4">
        <f>D4/(150*0.06894)</f>
        <v>0.5898849240885794</v>
      </c>
      <c r="F4" s="3">
        <v>98.035206665163358</v>
      </c>
      <c r="G4" s="3">
        <v>150</v>
      </c>
      <c r="H4" s="24">
        <v>2.0002471081321014</v>
      </c>
      <c r="I4" s="9">
        <f t="shared" ref="I4:I15" si="0">1-F4/100</f>
        <v>1.9647933348366453E-2</v>
      </c>
      <c r="J4" s="3">
        <f>((F4*H4/100)/229.2/(100-H4*F4/100)*1000)*694.2235-0.0596</f>
        <v>60.523474186392747</v>
      </c>
      <c r="K4" s="28">
        <f t="shared" ref="K4:K6" si="1">(D4/1000/3600)/(G4*6894-J4*6894)</f>
        <v>2.7469258870076732E-12</v>
      </c>
      <c r="L4" s="30">
        <f t="shared" ref="L4:L6" si="2">(D4/1000/3600)*I4/(1-I4)</f>
        <v>3.3959566812220159E-8</v>
      </c>
      <c r="M4" s="31">
        <f t="shared" ref="M4:M15" si="3">(($L$1/1000/3600))/K4/6894</f>
        <v>293.36565840526976</v>
      </c>
      <c r="N4" s="32">
        <f t="shared" ref="N4:N15" si="4">L4/($L$1/1000/3600+L4)</f>
        <v>6.0755836720653754E-3</v>
      </c>
      <c r="O4" s="9">
        <f t="shared" ref="O4:O15" si="5">1-N4</f>
        <v>0.9939244163279346</v>
      </c>
    </row>
    <row r="5" spans="1:15" x14ac:dyDescent="0.25">
      <c r="A5" s="2" t="s">
        <v>9</v>
      </c>
      <c r="B5" s="2" t="s">
        <v>26</v>
      </c>
      <c r="C5" s="3"/>
      <c r="D5" s="3">
        <v>48.885714285714293</v>
      </c>
      <c r="E5">
        <f>D5/(150*0.06894)</f>
        <v>4.7273681738433702</v>
      </c>
      <c r="F5" s="3">
        <v>69.005163498475298</v>
      </c>
      <c r="G5" s="3">
        <v>150</v>
      </c>
      <c r="H5" s="24">
        <v>0.41121077616346802</v>
      </c>
      <c r="I5" s="9">
        <f t="shared" si="0"/>
        <v>0.30994836501524703</v>
      </c>
      <c r="J5" s="3">
        <f t="shared" ref="J5:J6" si="6">((F5*H5/100)/229.2/(100-H5*F5/100)*1000)*694.2235-0.0596</f>
        <v>8.5595584620004193</v>
      </c>
      <c r="K5" s="28">
        <f t="shared" si="1"/>
        <v>1.3926262656442659E-11</v>
      </c>
      <c r="L5" s="30">
        <f t="shared" si="2"/>
        <v>6.0994015388244763E-6</v>
      </c>
      <c r="M5" s="31">
        <f t="shared" si="3"/>
        <v>57.865756327644469</v>
      </c>
      <c r="N5" s="32">
        <f t="shared" si="4"/>
        <v>0.52333110190217524</v>
      </c>
      <c r="O5" s="9">
        <f t="shared" si="5"/>
        <v>0.47666889809782476</v>
      </c>
    </row>
    <row r="6" spans="1:15" x14ac:dyDescent="0.25">
      <c r="A6" s="2" t="s">
        <v>10</v>
      </c>
      <c r="B6" s="2" t="s">
        <v>28</v>
      </c>
      <c r="C6" s="3"/>
      <c r="D6" s="3">
        <v>12.285714285714286</v>
      </c>
      <c r="E6">
        <f>D6/(150*0.06894)</f>
        <v>1.1880586293118929</v>
      </c>
      <c r="F6" s="3">
        <v>73.412102907650265</v>
      </c>
      <c r="G6" s="3">
        <v>150</v>
      </c>
      <c r="H6" s="24">
        <v>3.6475924133349822</v>
      </c>
      <c r="I6" s="9">
        <f t="shared" si="0"/>
        <v>0.26587897092349733</v>
      </c>
      <c r="J6" s="3">
        <f t="shared" si="6"/>
        <v>83.279083094174311</v>
      </c>
      <c r="K6" s="28">
        <f t="shared" si="1"/>
        <v>7.4193289276684506E-12</v>
      </c>
      <c r="L6" s="30">
        <f t="shared" si="2"/>
        <v>1.235987944905949E-6</v>
      </c>
      <c r="M6" s="31">
        <f t="shared" si="3"/>
        <v>108.61544612576274</v>
      </c>
      <c r="N6" s="32">
        <f t="shared" si="4"/>
        <v>0.18198925543537489</v>
      </c>
      <c r="O6" s="9">
        <f t="shared" si="5"/>
        <v>0.81801074456462508</v>
      </c>
    </row>
    <row r="7" spans="1:15" x14ac:dyDescent="0.25">
      <c r="A7" s="2" t="s">
        <v>30</v>
      </c>
      <c r="B7" s="2" t="s">
        <v>31</v>
      </c>
      <c r="D7">
        <v>0</v>
      </c>
      <c r="F7" s="3"/>
      <c r="G7" s="3">
        <v>150</v>
      </c>
      <c r="H7" s="24"/>
      <c r="I7" s="9"/>
      <c r="J7" s="3"/>
      <c r="M7" s="31"/>
      <c r="N7" s="32"/>
      <c r="O7" s="9"/>
    </row>
    <row r="8" spans="1:15" x14ac:dyDescent="0.25">
      <c r="A8" s="2" t="s">
        <v>33</v>
      </c>
      <c r="B8" s="2" t="s">
        <v>34</v>
      </c>
      <c r="C8" s="3"/>
      <c r="D8" s="3">
        <v>7.571428571428573</v>
      </c>
      <c r="E8">
        <f>D8/(150*0.06894)</f>
        <v>0.73217566690151559</v>
      </c>
      <c r="F8" s="3">
        <v>85.916761389517845</v>
      </c>
      <c r="G8" s="3">
        <v>150</v>
      </c>
      <c r="H8" s="24">
        <v>2.8487099456111702</v>
      </c>
      <c r="I8" s="9">
        <f t="shared" si="0"/>
        <v>0.14083238610482152</v>
      </c>
      <c r="J8" s="3">
        <f>((F8*H8/100)/229.2/(100-H8*F8/100)*1000)*694.2235-0.0596</f>
        <v>75.933211043648186</v>
      </c>
      <c r="K8" s="28">
        <f t="shared" ref="K8" si="7">(D8/1000/3600)/(G8*6894-J8*6894)</f>
        <v>4.1188932157175111E-12</v>
      </c>
      <c r="L8" s="30">
        <f t="shared" ref="L8" si="8">(D8/1000/3600)*I8/(1-I8)</f>
        <v>3.4474658142349085E-7</v>
      </c>
      <c r="M8" s="31">
        <f t="shared" si="3"/>
        <v>195.64812177149534</v>
      </c>
      <c r="N8" s="32">
        <f t="shared" si="4"/>
        <v>5.842863185985947E-2</v>
      </c>
      <c r="O8" s="9">
        <f t="shared" si="5"/>
        <v>0.94157136814014053</v>
      </c>
    </row>
    <row r="9" spans="1:15" x14ac:dyDescent="0.25">
      <c r="A9" s="2" t="s">
        <v>36</v>
      </c>
      <c r="B9" s="2" t="s">
        <v>37</v>
      </c>
      <c r="C9" s="3"/>
      <c r="D9" s="3">
        <v>17.152380952380955</v>
      </c>
      <c r="E9">
        <f>D9/(150*0.06894)</f>
        <v>1.6586772026284646</v>
      </c>
      <c r="F9" s="3">
        <v>76.595578692500666</v>
      </c>
      <c r="G9" s="3">
        <v>150</v>
      </c>
      <c r="H9" s="24">
        <v>1.1135895562092784</v>
      </c>
      <c r="I9" s="9">
        <f t="shared" si="0"/>
        <v>0.23404421307499335</v>
      </c>
      <c r="J9" s="3">
        <f t="shared" ref="J9:J15" si="9">((F9*H9/100)/229.2/(100-H9*F9/100)*1000)*694.2235-0.0596</f>
        <v>25.997963033713972</v>
      </c>
      <c r="K9" s="28">
        <f t="shared" ref="K9:K11" si="10">(D9/1000/3600)/(G9*6894-J9*6894)</f>
        <v>5.5734205502051216E-12</v>
      </c>
      <c r="L9" s="30">
        <f t="shared" ref="L9:L11" si="11">(D9/1000/3600)*I9/(1-I9)</f>
        <v>1.4558482830969158E-6</v>
      </c>
      <c r="M9" s="31">
        <f t="shared" si="3"/>
        <v>144.58871606285433</v>
      </c>
      <c r="N9" s="32">
        <f t="shared" si="4"/>
        <v>0.20764005562924712</v>
      </c>
      <c r="O9" s="9">
        <f t="shared" si="5"/>
        <v>0.79235994437075286</v>
      </c>
    </row>
    <row r="10" spans="1:15" x14ac:dyDescent="0.25">
      <c r="A10" s="2" t="s">
        <v>38</v>
      </c>
      <c r="B10" s="2" t="s">
        <v>39</v>
      </c>
      <c r="C10" s="3"/>
      <c r="D10" s="3">
        <v>22.223809523809525</v>
      </c>
      <c r="E10">
        <f>D10/(150*0.06894)</f>
        <v>2.1490967531002343</v>
      </c>
      <c r="F10" s="3">
        <v>78.392527502073577</v>
      </c>
      <c r="G10" s="3">
        <v>150</v>
      </c>
      <c r="H10" s="24">
        <v>3.0597894865908382</v>
      </c>
      <c r="I10" s="9">
        <f t="shared" si="0"/>
        <v>0.21607472497926428</v>
      </c>
      <c r="J10" s="3">
        <f t="shared" si="9"/>
        <v>74.378464347544408</v>
      </c>
      <c r="K10" s="28">
        <f t="shared" si="10"/>
        <v>1.1841295905095172E-11</v>
      </c>
      <c r="L10" s="30">
        <f t="shared" si="11"/>
        <v>1.7015523190586129E-6</v>
      </c>
      <c r="M10" s="31">
        <f t="shared" si="3"/>
        <v>68.054521049992175</v>
      </c>
      <c r="N10" s="32">
        <f t="shared" si="4"/>
        <v>0.23446700096752765</v>
      </c>
      <c r="O10" s="9">
        <f t="shared" si="5"/>
        <v>0.76553299903247241</v>
      </c>
    </row>
    <row r="11" spans="1:15" x14ac:dyDescent="0.25">
      <c r="A11" s="2" t="s">
        <v>40</v>
      </c>
      <c r="B11" s="2" t="s">
        <v>41</v>
      </c>
      <c r="C11" s="3"/>
      <c r="D11" s="3">
        <v>8.6380952380952394</v>
      </c>
      <c r="E11">
        <f>D11/(150*0.06894)</f>
        <v>0.83532494324487361</v>
      </c>
      <c r="F11" s="3">
        <v>84.406557892118158</v>
      </c>
      <c r="G11" s="3">
        <v>150</v>
      </c>
      <c r="H11" s="24">
        <v>1.1086380089779626</v>
      </c>
      <c r="I11" s="9">
        <f t="shared" si="0"/>
        <v>0.15593442107881839</v>
      </c>
      <c r="J11" s="3">
        <f t="shared" si="9"/>
        <v>28.551447177022961</v>
      </c>
      <c r="K11" s="28">
        <f t="shared" si="10"/>
        <v>2.865839498249794E-12</v>
      </c>
      <c r="L11" s="30">
        <f t="shared" si="11"/>
        <v>4.4328321749915271E-7</v>
      </c>
      <c r="M11" s="31">
        <f t="shared" si="3"/>
        <v>281.19290069267004</v>
      </c>
      <c r="N11" s="32">
        <f t="shared" si="4"/>
        <v>7.3894837695967205E-2</v>
      </c>
      <c r="O11" s="9">
        <f t="shared" si="5"/>
        <v>0.92610516230403284</v>
      </c>
    </row>
    <row r="12" spans="1:15" x14ac:dyDescent="0.25">
      <c r="A12" s="2" t="s">
        <v>42</v>
      </c>
      <c r="B12" s="2" t="s">
        <v>43</v>
      </c>
      <c r="D12">
        <v>0</v>
      </c>
      <c r="F12" s="3"/>
      <c r="G12" s="3">
        <v>350</v>
      </c>
      <c r="H12" s="24">
        <v>0</v>
      </c>
      <c r="I12" s="9"/>
      <c r="J12" s="3"/>
      <c r="M12" s="31"/>
      <c r="N12" s="32"/>
      <c r="O12" s="9"/>
    </row>
    <row r="13" spans="1:15" x14ac:dyDescent="0.25">
      <c r="A13" s="2" t="s">
        <v>44</v>
      </c>
      <c r="B13" s="2" t="s">
        <v>45</v>
      </c>
      <c r="C13" s="8"/>
      <c r="D13" s="3">
        <v>10.276190476190479</v>
      </c>
      <c r="E13">
        <f>D13/(150*0.06894)</f>
        <v>0.99373276048645953</v>
      </c>
      <c r="F13" s="3">
        <v>80.179951656179696</v>
      </c>
      <c r="G13" s="3">
        <v>150</v>
      </c>
      <c r="H13" s="24">
        <v>1.0045684623704005</v>
      </c>
      <c r="I13" s="9">
        <f t="shared" si="0"/>
        <v>0.19820048343820307</v>
      </c>
      <c r="J13" s="3">
        <f t="shared" si="9"/>
        <v>24.535141960328598</v>
      </c>
      <c r="K13" s="28">
        <f t="shared" ref="K13" si="12">(D13/1000/3600)/(G13*6894-J13*6894)</f>
        <v>3.3001696517955319E-12</v>
      </c>
      <c r="L13" s="30">
        <f t="shared" ref="L13" si="13">(D13/1000/3600)*I13/(1-I13)</f>
        <v>7.0561623441792456E-7</v>
      </c>
      <c r="M13" s="31">
        <f t="shared" si="3"/>
        <v>244.18554391409626</v>
      </c>
      <c r="N13" s="32">
        <f t="shared" si="4"/>
        <v>0.11269715287925573</v>
      </c>
      <c r="O13" s="9">
        <f t="shared" si="5"/>
        <v>0.88730284712074425</v>
      </c>
    </row>
    <row r="14" spans="1:15" x14ac:dyDescent="0.25">
      <c r="A14" s="2" t="s">
        <v>190</v>
      </c>
      <c r="B14" s="2" t="s">
        <v>46</v>
      </c>
      <c r="C14" s="3"/>
      <c r="D14" s="3">
        <v>20.3</v>
      </c>
      <c r="E14">
        <f>D14/(150*0.06894)</f>
        <v>1.9630596654095347</v>
      </c>
      <c r="F14" s="3">
        <v>90.8</v>
      </c>
      <c r="G14" s="3">
        <v>150</v>
      </c>
      <c r="H14" s="24">
        <v>1.38698877106907</v>
      </c>
      <c r="I14" s="9">
        <f t="shared" si="0"/>
        <v>9.2000000000000082E-2</v>
      </c>
      <c r="J14" s="3">
        <f t="shared" si="9"/>
        <v>38.572442196717127</v>
      </c>
      <c r="K14" s="28">
        <f t="shared" ref="K14:K15" si="14">(D14/1000/3600)/(G14*6894-J14*6894)</f>
        <v>7.3405676600934618E-12</v>
      </c>
      <c r="L14" s="30">
        <f t="shared" ref="L14:L15" si="15">(D14/1000/3600)*I14/(1-I14)</f>
        <v>5.713411649535004E-7</v>
      </c>
      <c r="M14" s="31">
        <f t="shared" si="3"/>
        <v>109.78084512638704</v>
      </c>
      <c r="N14" s="32">
        <f t="shared" si="4"/>
        <v>9.325131318780093E-2</v>
      </c>
      <c r="O14" s="9">
        <f t="shared" si="5"/>
        <v>0.90674868681219911</v>
      </c>
    </row>
    <row r="15" spans="1:15" x14ac:dyDescent="0.25">
      <c r="A15" s="2" t="s">
        <v>191</v>
      </c>
      <c r="B15" s="2" t="s">
        <v>47</v>
      </c>
      <c r="C15" s="7"/>
      <c r="D15" s="3">
        <v>6.6238095238095243</v>
      </c>
      <c r="E15">
        <f>D15/(150*0.06894)</f>
        <v>0.64053858657862139</v>
      </c>
      <c r="F15" s="3">
        <v>89.351328223732651</v>
      </c>
      <c r="G15" s="3">
        <v>150</v>
      </c>
      <c r="H15" s="24">
        <v>2.6205208990321536</v>
      </c>
      <c r="I15" s="9">
        <f t="shared" si="0"/>
        <v>0.10648671776267349</v>
      </c>
      <c r="J15" s="3">
        <f t="shared" si="9"/>
        <v>72.561555707488253</v>
      </c>
      <c r="K15" s="28">
        <f t="shared" si="14"/>
        <v>3.4464932783638128E-12</v>
      </c>
      <c r="L15" s="30">
        <f t="shared" si="15"/>
        <v>2.1928037373417258E-7</v>
      </c>
      <c r="M15" s="31">
        <f t="shared" si="3"/>
        <v>233.81845149428418</v>
      </c>
      <c r="N15" s="32">
        <f t="shared" si="4"/>
        <v>3.7971706282076627E-2</v>
      </c>
      <c r="O15" s="9">
        <f t="shared" si="5"/>
        <v>0.96202829371792342</v>
      </c>
    </row>
    <row r="16" spans="1:15" x14ac:dyDescent="0.25">
      <c r="B16" s="2"/>
      <c r="C16" s="3"/>
      <c r="D16" s="3"/>
    </row>
    <row r="17" spans="1:15" x14ac:dyDescent="0.25">
      <c r="B17" s="2"/>
      <c r="C17" s="3"/>
      <c r="D17" s="3"/>
    </row>
    <row r="18" spans="1:15" ht="18" x14ac:dyDescent="0.25">
      <c r="B18" s="15" t="s">
        <v>145</v>
      </c>
      <c r="C18" s="3" t="s">
        <v>103</v>
      </c>
      <c r="D18" s="15" t="s">
        <v>146</v>
      </c>
      <c r="E18" s="15" t="s">
        <v>103</v>
      </c>
    </row>
    <row r="19" spans="1:15" x14ac:dyDescent="0.25">
      <c r="A19" s="2" t="s">
        <v>19</v>
      </c>
      <c r="B19" s="9">
        <f>AVERAGE(O3:O4)</f>
        <v>0.99109590390613311</v>
      </c>
      <c r="C19">
        <f>STDEVA(O3:O4)/2</f>
        <v>2.0000603141262165E-3</v>
      </c>
      <c r="D19" s="24">
        <f>AVERAGE(M3:M4)</f>
        <v>245.21150904712934</v>
      </c>
      <c r="E19">
        <f>STDEVA(M3:M4)/2</f>
        <v>34.050125553410943</v>
      </c>
      <c r="M19" s="39"/>
      <c r="N19" s="24"/>
      <c r="O19" s="24"/>
    </row>
    <row r="20" spans="1:15" x14ac:dyDescent="0.25">
      <c r="A20" s="2" t="s">
        <v>20</v>
      </c>
      <c r="B20" s="9">
        <f>AVERAGE(O5:O6)</f>
        <v>0.64733982133122492</v>
      </c>
      <c r="C20">
        <f>STDEVA(O5:O6)/2</f>
        <v>0.12068256716970602</v>
      </c>
      <c r="D20" s="24">
        <f>AVERAGE(M5:M6)</f>
        <v>83.240601226703603</v>
      </c>
      <c r="E20">
        <f>STDEVA(M5:M6)/2</f>
        <v>17.9427248996816</v>
      </c>
      <c r="M20" s="39"/>
      <c r="N20" s="24"/>
      <c r="O20" s="24"/>
    </row>
    <row r="21" spans="1:15" x14ac:dyDescent="0.25">
      <c r="A21" t="s">
        <v>27</v>
      </c>
      <c r="B21" s="9"/>
      <c r="D21" s="24"/>
      <c r="M21" s="39"/>
      <c r="N21" s="24"/>
      <c r="O21" s="24"/>
    </row>
    <row r="22" spans="1:15" x14ac:dyDescent="0.25">
      <c r="A22" s="2" t="s">
        <v>29</v>
      </c>
      <c r="B22" s="9">
        <f>AVERAGE(O8:O9)</f>
        <v>0.86696565625544664</v>
      </c>
      <c r="C22">
        <f>STDEVA(O8:O9)/2</f>
        <v>5.2754204788916813E-2</v>
      </c>
      <c r="D22" s="24">
        <f>AVERAGE(M8:M9)</f>
        <v>170.11841891717484</v>
      </c>
      <c r="E22">
        <f>STDEVA(M8:M9)/2</f>
        <v>18.052226009967594</v>
      </c>
      <c r="M22" s="39"/>
      <c r="N22" s="24"/>
      <c r="O22" s="24"/>
    </row>
    <row r="23" spans="1:15" x14ac:dyDescent="0.25">
      <c r="A23" s="2" t="s">
        <v>32</v>
      </c>
      <c r="B23" s="9">
        <f>AVERAGE(O10:O11)</f>
        <v>0.84581908066825262</v>
      </c>
      <c r="C23">
        <f>STDEVA(O10:O11)/2</f>
        <v>5.6770832759556931E-2</v>
      </c>
      <c r="D23" s="24">
        <f>AVERAGE(M10:M11)</f>
        <v>174.6237108713311</v>
      </c>
      <c r="E23">
        <f>STDEVA(M10:M11)/2</f>
        <v>75.355796788225163</v>
      </c>
      <c r="M23" s="39"/>
      <c r="N23" s="24"/>
      <c r="O23" s="24"/>
    </row>
    <row r="24" spans="1:15" x14ac:dyDescent="0.25">
      <c r="A24" s="2" t="s">
        <v>35</v>
      </c>
      <c r="B24" s="9">
        <f>AVERAGE(O12:O13)</f>
        <v>0.88730284712074425</v>
      </c>
      <c r="C24">
        <v>0</v>
      </c>
      <c r="D24" s="24">
        <f>AVERAGE(M12:M13)</f>
        <v>244.18554391409626</v>
      </c>
      <c r="E24">
        <v>0</v>
      </c>
      <c r="M24" s="39"/>
      <c r="N24" s="24"/>
      <c r="O24" s="24"/>
    </row>
    <row r="25" spans="1:15" x14ac:dyDescent="0.25">
      <c r="A25" s="2" t="s">
        <v>189</v>
      </c>
      <c r="B25" s="9">
        <f>AVERAGE(O14:O15)</f>
        <v>0.93438849026506121</v>
      </c>
      <c r="C25">
        <f>STDEVA(O14:O15)/2</f>
        <v>1.9544292452182182E-2</v>
      </c>
      <c r="D25" s="24">
        <f>AVERAGE(M14:M15)</f>
        <v>171.79964831033561</v>
      </c>
      <c r="E25">
        <f>STDEVA(M14:M15)/2</f>
        <v>43.853916292443898</v>
      </c>
      <c r="M25" s="39"/>
      <c r="N25" s="24"/>
      <c r="O25" s="24"/>
    </row>
  </sheetData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opLeftCell="A37" workbookViewId="0">
      <selection activeCell="B27" sqref="B27"/>
    </sheetView>
  </sheetViews>
  <sheetFormatPr defaultRowHeight="15" x14ac:dyDescent="0.25"/>
  <cols>
    <col min="1" max="1" width="25.42578125" customWidth="1"/>
    <col min="2" max="3" width="30.7109375" customWidth="1"/>
    <col min="4" max="5" width="21.42578125" customWidth="1"/>
    <col min="6" max="6" width="30.140625" customWidth="1"/>
    <col min="7" max="7" width="23.42578125" customWidth="1"/>
    <col min="8" max="8" width="13.28515625" customWidth="1"/>
    <col min="9" max="9" width="26.28515625" customWidth="1"/>
    <col min="10" max="10" width="15" customWidth="1"/>
    <col min="11" max="11" width="29.7109375" customWidth="1"/>
    <col min="12" max="12" width="27.5703125" customWidth="1"/>
    <col min="13" max="13" width="32.42578125" customWidth="1"/>
    <col min="14" max="14" width="13.85546875" customWidth="1"/>
    <col min="15" max="15" width="13.140625" customWidth="1"/>
    <col min="16" max="16" width="16" customWidth="1"/>
    <col min="22" max="22" width="45.140625" customWidth="1"/>
    <col min="25" max="25" width="17.7109375" customWidth="1"/>
  </cols>
  <sheetData>
    <row r="1" spans="1:26" ht="15.75" x14ac:dyDescent="0.25">
      <c r="A1" s="51" t="s">
        <v>124</v>
      </c>
      <c r="B1" s="51"/>
      <c r="C1" s="51"/>
      <c r="D1" s="51"/>
      <c r="E1" s="51"/>
      <c r="F1" s="51"/>
      <c r="G1" s="51"/>
      <c r="H1" s="51"/>
      <c r="I1" s="51"/>
      <c r="J1" s="52"/>
      <c r="K1" s="52"/>
      <c r="O1">
        <v>20</v>
      </c>
    </row>
    <row r="2" spans="1:26" ht="18.75" x14ac:dyDescent="0.3">
      <c r="B2" t="s">
        <v>99</v>
      </c>
      <c r="D2" s="15" t="s">
        <v>97</v>
      </c>
      <c r="E2" s="15"/>
      <c r="F2" t="s">
        <v>102</v>
      </c>
      <c r="G2" t="s">
        <v>23</v>
      </c>
      <c r="H2" t="s">
        <v>48</v>
      </c>
      <c r="I2" s="15" t="s">
        <v>101</v>
      </c>
      <c r="J2" t="s">
        <v>102</v>
      </c>
      <c r="M2" t="s">
        <v>128</v>
      </c>
      <c r="N2" s="26" t="s">
        <v>131</v>
      </c>
      <c r="O2" s="26" t="s">
        <v>129</v>
      </c>
      <c r="P2" s="26" t="s">
        <v>130</v>
      </c>
      <c r="Q2" s="29" t="s">
        <v>134</v>
      </c>
      <c r="R2" s="29" t="s">
        <v>128</v>
      </c>
      <c r="S2" s="29" t="s">
        <v>105</v>
      </c>
      <c r="V2" s="36"/>
      <c r="W2" s="37" t="s">
        <v>145</v>
      </c>
      <c r="X2" s="36" t="s">
        <v>103</v>
      </c>
      <c r="Y2" s="37" t="s">
        <v>146</v>
      </c>
      <c r="Z2" s="36" t="s">
        <v>103</v>
      </c>
    </row>
    <row r="3" spans="1:26" ht="18.75" x14ac:dyDescent="0.35">
      <c r="A3" s="2" t="s">
        <v>6</v>
      </c>
      <c r="B3">
        <v>4</v>
      </c>
      <c r="C3" s="24">
        <v>20.928571428571431</v>
      </c>
      <c r="D3" s="3">
        <f>AVERAGE(C3:C5)</f>
        <v>18.595238095238098</v>
      </c>
      <c r="E3" s="5">
        <v>94.679534101846741</v>
      </c>
      <c r="F3" s="5">
        <f>AVERAGE(E3:E5)</f>
        <v>97.484084788007124</v>
      </c>
      <c r="G3">
        <v>300</v>
      </c>
      <c r="H3">
        <f>G3*0.06894</f>
        <v>20.682000000000002</v>
      </c>
      <c r="I3">
        <f>C3/H3</f>
        <v>1.0119220301987926</v>
      </c>
      <c r="J3" s="3">
        <f>E3</f>
        <v>94.679534101846741</v>
      </c>
      <c r="M3" s="9">
        <f>1-E3/100</f>
        <v>5.3204658981532593E-2</v>
      </c>
      <c r="N3" s="3">
        <f>((E3*B3/100)/229.2/(100-E3*B3/100)*1000)*694.2235-0.0596</f>
        <v>119.16554606009123</v>
      </c>
      <c r="O3" s="28">
        <f>(C3/1000/3600)/(G3*6894-N3*6894)</f>
        <v>4.6632062647708254E-12</v>
      </c>
      <c r="P3" s="30">
        <f>(C3/1000/3600)*M3/(1-M3)</f>
        <v>3.2668608444695383E-7</v>
      </c>
      <c r="Q3" s="31">
        <f>(($O$1/1000/3600))/O3/6894</f>
        <v>172.81108226339407</v>
      </c>
      <c r="R3" s="32">
        <f>P3/($O$1/1000/3600+P3)</f>
        <v>5.5537685195607582E-2</v>
      </c>
      <c r="S3" s="9">
        <f>1-R3</f>
        <v>0.94446231480439247</v>
      </c>
      <c r="V3" s="25" t="s">
        <v>32</v>
      </c>
      <c r="W3" s="38">
        <f>AVERAGE(S9:S14)</f>
        <v>0.90003987234882621</v>
      </c>
      <c r="X3" s="38">
        <f>STDEV(S9:S14)</f>
        <v>2.2782866146276195E-2</v>
      </c>
      <c r="Y3" s="36">
        <f>AVERAGE(Q9:Q14)</f>
        <v>200.80587558133183</v>
      </c>
      <c r="Z3" s="36">
        <f>STDEV(Q9:Q14)</f>
        <v>27.681093589918916</v>
      </c>
    </row>
    <row r="4" spans="1:26" ht="18.75" x14ac:dyDescent="0.35">
      <c r="A4" s="2"/>
      <c r="B4">
        <v>4</v>
      </c>
      <c r="C4" s="24">
        <v>19.814285714285717</v>
      </c>
      <c r="D4" s="3"/>
      <c r="E4" s="5">
        <v>98.516205212070204</v>
      </c>
      <c r="F4" s="5"/>
      <c r="G4">
        <v>300</v>
      </c>
      <c r="H4">
        <f t="shared" ref="H4:H5" si="0">G4*0.06894</f>
        <v>20.682000000000002</v>
      </c>
      <c r="I4">
        <f t="shared" ref="I4:I5" si="1">C4/H4</f>
        <v>0.95804495282302071</v>
      </c>
      <c r="J4" s="3">
        <f t="shared" ref="J4:J14" si="2">E4</f>
        <v>98.516205212070204</v>
      </c>
      <c r="M4" s="9">
        <f>1-E4/100</f>
        <v>1.483794787929793E-2</v>
      </c>
      <c r="N4" s="3">
        <f>((E4*B4/100)/229.2/(100-E4*B4/100)*1000)*694.2235-0.0596</f>
        <v>124.19506758528243</v>
      </c>
      <c r="O4" s="28">
        <f t="shared" ref="O4" si="3">(C4/1000/3600)/(G4*6894-N4*6894)</f>
        <v>4.5412309145903587E-12</v>
      </c>
      <c r="P4" s="30">
        <f t="shared" ref="P4" si="4">(C4/1000/3600)*M4/(1-M4)</f>
        <v>8.2897624716553218E-8</v>
      </c>
      <c r="Q4" s="31">
        <f t="shared" ref="Q4" si="5">(($O$1/1000/3600))/O4/6894</f>
        <v>177.45270755631188</v>
      </c>
      <c r="R4" s="32">
        <f t="shared" ref="R4" si="6">P4/($O$1/1000/3600+P4)</f>
        <v>1.4702192616690776E-2</v>
      </c>
      <c r="S4" s="9">
        <f t="shared" ref="S4:S5" si="7">1-R4</f>
        <v>0.98529780738330919</v>
      </c>
      <c r="V4" s="25" t="s">
        <v>20</v>
      </c>
      <c r="W4" s="38">
        <f>AVERAGE(S15:S17)</f>
        <v>0.63976549897242896</v>
      </c>
      <c r="X4" s="38">
        <f>STDEV(S15:S17)</f>
        <v>0.19670491008331731</v>
      </c>
      <c r="Y4" s="36">
        <f>AVERAGE(Q15:Q17)</f>
        <v>234.16818177011308</v>
      </c>
      <c r="Z4" s="36">
        <f>STDEV(Q15:Q17)</f>
        <v>102.53358530110212</v>
      </c>
    </row>
    <row r="5" spans="1:26" ht="18.75" x14ac:dyDescent="0.35">
      <c r="A5" s="2"/>
      <c r="B5">
        <v>4</v>
      </c>
      <c r="C5" s="24">
        <v>15.042857142857144</v>
      </c>
      <c r="D5" s="3"/>
      <c r="E5" s="5">
        <v>99.256515050104426</v>
      </c>
      <c r="F5" s="5"/>
      <c r="G5">
        <v>300</v>
      </c>
      <c r="H5">
        <f t="shared" si="0"/>
        <v>20.682000000000002</v>
      </c>
      <c r="I5">
        <f t="shared" si="1"/>
        <v>0.72734054457292052</v>
      </c>
      <c r="J5" s="3">
        <f t="shared" si="2"/>
        <v>99.256515050104426</v>
      </c>
      <c r="M5" s="9">
        <f>1-E5/100</f>
        <v>7.4348494989557867E-3</v>
      </c>
      <c r="N5" s="3">
        <f>((E5*B5/100)/229.2/(100-E5*B5/100)*1000)*694.2235-0.0596</f>
        <v>125.16739561970209</v>
      </c>
      <c r="O5" s="28">
        <f t="shared" ref="O5:O6" si="8">(C5/1000/3600)/(G5*6894-N5*6894)</f>
        <v>3.4668425985292818E-12</v>
      </c>
      <c r="P5" s="30">
        <f t="shared" ref="P5:P6" si="9">(C5/1000/3600)*M5/(1-M5)</f>
        <v>3.1299758687258656E-8</v>
      </c>
      <c r="Q5" s="31">
        <f t="shared" ref="Q5:Q6" si="10">(($O$1/1000/3600))/O5/6894</f>
        <v>232.44600772309312</v>
      </c>
      <c r="R5" s="32">
        <f t="shared" ref="R5" si="11">P5/($O$1/1000/3600+P5)</f>
        <v>5.60239292531253E-3</v>
      </c>
      <c r="S5" s="9">
        <f t="shared" si="7"/>
        <v>0.9943976070746875</v>
      </c>
      <c r="V5" s="25" t="s">
        <v>19</v>
      </c>
      <c r="W5" s="38">
        <f>AVERAGE(S3:S8)</f>
        <v>0.98113762527381887</v>
      </c>
      <c r="X5" s="38">
        <f>STDEV(S3:S8)</f>
        <v>1.88234950832139E-2</v>
      </c>
      <c r="Y5" s="36">
        <f>AVERAGE(Q3:Q8)</f>
        <v>241.99485852638722</v>
      </c>
      <c r="Z5" s="36">
        <f>STDEV(Q3:Q8)</f>
        <v>57.956862131143609</v>
      </c>
    </row>
    <row r="6" spans="1:26" x14ac:dyDescent="0.25">
      <c r="A6" s="2" t="s">
        <v>7</v>
      </c>
      <c r="B6">
        <v>4</v>
      </c>
      <c r="C6" s="24">
        <v>13.4</v>
      </c>
      <c r="D6" s="3">
        <f>AVERAGE(C6:C8)</f>
        <v>12.228571428571435</v>
      </c>
      <c r="E6" s="5">
        <v>96.900896257190198</v>
      </c>
      <c r="F6" s="5">
        <f>AVERAGE(E6:E8)</f>
        <v>98.035206665163358</v>
      </c>
      <c r="G6">
        <v>300</v>
      </c>
      <c r="H6">
        <f t="shared" ref="H6:H21" si="12">G6*0.06894</f>
        <v>20.682000000000002</v>
      </c>
      <c r="I6">
        <f>C6/H6</f>
        <v>0.6479063920317184</v>
      </c>
      <c r="J6" s="3">
        <f t="shared" si="2"/>
        <v>96.900896257190198</v>
      </c>
      <c r="M6" s="9">
        <f>1-E6/100</f>
        <v>3.0991037428098056E-2</v>
      </c>
      <c r="N6" s="3">
        <f>((E6*B6/100)/229.2/(100-E6*B6/100)*1000)*694.2235-0.0596</f>
        <v>122.07558933128409</v>
      </c>
      <c r="O6" s="28">
        <f t="shared" si="8"/>
        <v>3.034558278599929E-12</v>
      </c>
      <c r="P6" s="30">
        <f t="shared" si="9"/>
        <v>1.1904485165794084E-7</v>
      </c>
      <c r="Q6" s="31">
        <f t="shared" si="10"/>
        <v>265.5588218936058</v>
      </c>
      <c r="R6" s="32">
        <f>P6/($O$1/1000/3600+P6)</f>
        <v>2.0978543529974761E-2</v>
      </c>
      <c r="S6" s="9">
        <f>1-R6</f>
        <v>0.97902145647002525</v>
      </c>
      <c r="W6" s="9"/>
      <c r="X6" s="9"/>
      <c r="Y6" s="24"/>
      <c r="Z6" s="24"/>
    </row>
    <row r="7" spans="1:26" x14ac:dyDescent="0.25">
      <c r="A7" s="2"/>
      <c r="B7">
        <v>4</v>
      </c>
      <c r="C7" s="24">
        <v>11.785714285714301</v>
      </c>
      <c r="D7" s="3"/>
      <c r="E7" s="5">
        <v>98.709307768199878</v>
      </c>
      <c r="F7" s="5"/>
      <c r="G7">
        <v>300</v>
      </c>
      <c r="H7">
        <f t="shared" si="12"/>
        <v>20.682000000000002</v>
      </c>
      <c r="I7">
        <f>C7/H7</f>
        <v>0.56985370301297256</v>
      </c>
      <c r="J7" s="3">
        <f t="shared" si="2"/>
        <v>98.709307768199878</v>
      </c>
      <c r="M7" s="9">
        <f t="shared" ref="M7:M8" si="13">1-E7/100</f>
        <v>1.2906922318001168E-2</v>
      </c>
      <c r="N7" s="3">
        <f t="shared" ref="N7:N8" si="14">((E7*B7/100)/229.2/(100-E7*B7/100)*1000)*694.2235-0.0596</f>
        <v>124.44863201544496</v>
      </c>
      <c r="O7" s="28">
        <f t="shared" ref="O7:O8" si="15">(C7/1000/3600)/(G7*6894-N7*6894)</f>
        <v>2.705066279437501E-12</v>
      </c>
      <c r="P7" s="30">
        <f t="shared" ref="P7:P8" si="16">(C7/1000/3600)*M7/(1-M7)</f>
        <v>4.2807315908819241E-8</v>
      </c>
      <c r="Q7" s="31">
        <f t="shared" ref="Q7:Q8" si="17">(($O$1/1000/3600))/O7/6894</f>
        <v>297.90535173136573</v>
      </c>
      <c r="R7" s="32">
        <f t="shared" ref="R7:R8" si="18">P7/($O$1/1000/3600+P7)</f>
        <v>7.6463989369131491E-3</v>
      </c>
      <c r="S7" s="9">
        <f t="shared" ref="S7:S17" si="19">1-R7</f>
        <v>0.9923536010630869</v>
      </c>
    </row>
    <row r="8" spans="1:26" x14ac:dyDescent="0.25">
      <c r="A8" s="2"/>
      <c r="B8">
        <v>4</v>
      </c>
      <c r="C8" s="24">
        <v>11.500000000000002</v>
      </c>
      <c r="D8" s="3"/>
      <c r="E8" s="5">
        <v>98.495415970099984</v>
      </c>
      <c r="F8" s="5"/>
      <c r="G8">
        <v>300</v>
      </c>
      <c r="H8">
        <f t="shared" si="12"/>
        <v>20.682000000000002</v>
      </c>
      <c r="I8">
        <f t="shared" ref="I8" si="20">C8/H8</f>
        <v>0.55603906778841505</v>
      </c>
      <c r="J8" s="3">
        <f t="shared" si="2"/>
        <v>98.495415970099984</v>
      </c>
      <c r="M8" s="9">
        <f t="shared" si="13"/>
        <v>1.5045840299000135E-2</v>
      </c>
      <c r="N8" s="3">
        <f t="shared" si="14"/>
        <v>124.16777150543211</v>
      </c>
      <c r="O8" s="28">
        <f t="shared" si="15"/>
        <v>2.635272804029748E-12</v>
      </c>
      <c r="P8" s="30">
        <f t="shared" si="16"/>
        <v>4.8797297297297291E-8</v>
      </c>
      <c r="Q8" s="31">
        <f t="shared" si="17"/>
        <v>305.79517999055281</v>
      </c>
      <c r="R8" s="32">
        <f t="shared" si="18"/>
        <v>8.7070351525881159E-3</v>
      </c>
      <c r="S8" s="9">
        <f t="shared" si="19"/>
        <v>0.99129296484741192</v>
      </c>
    </row>
    <row r="9" spans="1:26" x14ac:dyDescent="0.25">
      <c r="A9" s="2" t="s">
        <v>38</v>
      </c>
      <c r="B9">
        <v>2.5</v>
      </c>
      <c r="C9" s="24">
        <v>27.214285714285701</v>
      </c>
      <c r="D9" s="3">
        <f>AVERAGE(C9:C11)</f>
        <v>22.028571428571425</v>
      </c>
      <c r="E9" s="6">
        <v>91.053365818895202</v>
      </c>
      <c r="F9" s="5">
        <f>AVERAGE(E9:E11)</f>
        <v>92.100723278941373</v>
      </c>
      <c r="G9">
        <v>300</v>
      </c>
      <c r="H9">
        <f t="shared" si="12"/>
        <v>20.682000000000002</v>
      </c>
      <c r="I9">
        <f>C9/H9</f>
        <v>1.3158440051390434</v>
      </c>
      <c r="J9" s="3">
        <f t="shared" si="2"/>
        <v>91.053365818895202</v>
      </c>
      <c r="M9" s="9">
        <f t="shared" ref="M9:M13" si="21">1-E9/100</f>
        <v>8.9466341811047956E-2</v>
      </c>
      <c r="N9" s="3">
        <f t="shared" ref="N9:N17" si="22">((E9*B9/100)/229.2/(100-E9*B9/100)*1000)*694.2235-0.0596</f>
        <v>70.494289468882513</v>
      </c>
      <c r="O9" s="28">
        <f t="shared" ref="O9:O14" si="23">(C9/1000/3600)/(G9*6894-N9*6894)</f>
        <v>4.7778186800303135E-12</v>
      </c>
      <c r="P9" s="30">
        <f t="shared" ref="P9:P14" si="24">(C9/1000/3600)*M9/(1-M9)</f>
        <v>7.4277643115007514E-7</v>
      </c>
      <c r="Q9" s="31">
        <f t="shared" ref="Q9:Q14" si="25">(($O$1/1000/3600))/O9/6894</f>
        <v>168.66561403861664</v>
      </c>
      <c r="R9" s="32">
        <f t="shared" ref="R9:R14" si="26">P9/($O$1/1000/3600+P9)</f>
        <v>0.11793224503216247</v>
      </c>
      <c r="S9" s="9">
        <f t="shared" si="19"/>
        <v>0.88206775496783751</v>
      </c>
    </row>
    <row r="10" spans="1:26" x14ac:dyDescent="0.25">
      <c r="A10" s="2"/>
      <c r="B10">
        <v>2.5</v>
      </c>
      <c r="C10" s="24">
        <v>19.214285714285719</v>
      </c>
      <c r="D10" s="3"/>
      <c r="E10" s="6">
        <v>92.726833015263594</v>
      </c>
      <c r="F10" s="5"/>
      <c r="G10">
        <v>300</v>
      </c>
      <c r="H10">
        <f t="shared" si="12"/>
        <v>20.682000000000002</v>
      </c>
      <c r="I10">
        <f t="shared" ref="I10" si="27">C10/H10</f>
        <v>0.92903421885145132</v>
      </c>
      <c r="J10" s="3">
        <f t="shared" si="2"/>
        <v>92.726833015263594</v>
      </c>
      <c r="M10" s="9">
        <f t="shared" si="21"/>
        <v>7.2731669847364011E-2</v>
      </c>
      <c r="N10" s="3">
        <f t="shared" si="22"/>
        <v>71.821770659601498</v>
      </c>
      <c r="O10" s="28">
        <f t="shared" si="23"/>
        <v>3.3929406175786275E-12</v>
      </c>
      <c r="P10" s="30">
        <f t="shared" si="24"/>
        <v>4.1863918382668324E-7</v>
      </c>
      <c r="Q10" s="31">
        <f t="shared" si="25"/>
        <v>237.50893760338877</v>
      </c>
      <c r="R10" s="32">
        <f t="shared" si="26"/>
        <v>7.0074579435281781E-2</v>
      </c>
      <c r="S10" s="9">
        <f t="shared" si="19"/>
        <v>0.92992542056471827</v>
      </c>
    </row>
    <row r="11" spans="1:26" x14ac:dyDescent="0.25">
      <c r="A11" s="2"/>
      <c r="B11">
        <v>2.5</v>
      </c>
      <c r="C11" s="24">
        <v>19.657142857142858</v>
      </c>
      <c r="D11" s="3"/>
      <c r="E11" s="6">
        <v>92.521971002665353</v>
      </c>
      <c r="F11" s="5"/>
      <c r="G11">
        <v>300</v>
      </c>
      <c r="H11">
        <f t="shared" si="12"/>
        <v>20.682000000000002</v>
      </c>
      <c r="I11">
        <f>C11/H11</f>
        <v>0.95044690344951432</v>
      </c>
      <c r="J11" s="3">
        <f t="shared" si="2"/>
        <v>92.521971002665353</v>
      </c>
      <c r="M11" s="9">
        <f t="shared" si="21"/>
        <v>7.4780289973346514E-2</v>
      </c>
      <c r="N11" s="3">
        <f t="shared" si="22"/>
        <v>71.659202382094279</v>
      </c>
      <c r="O11" s="28">
        <f t="shared" si="23"/>
        <v>3.4686709272746256E-12</v>
      </c>
      <c r="P11" s="30">
        <f t="shared" si="24"/>
        <v>4.4132665852665829E-7</v>
      </c>
      <c r="Q11" s="31">
        <f t="shared" si="25"/>
        <v>232.32348594845058</v>
      </c>
      <c r="R11" s="32">
        <f t="shared" si="26"/>
        <v>7.3592684126813496E-2</v>
      </c>
      <c r="S11" s="9">
        <f t="shared" si="19"/>
        <v>0.92640731587318648</v>
      </c>
    </row>
    <row r="12" spans="1:26" x14ac:dyDescent="0.25">
      <c r="A12" s="2" t="s">
        <v>40</v>
      </c>
      <c r="B12">
        <v>2.5</v>
      </c>
      <c r="C12" s="24">
        <v>24.357142857142861</v>
      </c>
      <c r="D12" s="3">
        <f>AVERAGE(C12:C14)</f>
        <v>24.361904761904768</v>
      </c>
      <c r="E12" s="6">
        <v>89.580624859312479</v>
      </c>
      <c r="F12" s="5">
        <f>AVERAGE(E12:E14)</f>
        <v>90.552181822354456</v>
      </c>
      <c r="G12">
        <v>300</v>
      </c>
      <c r="H12">
        <f t="shared" si="12"/>
        <v>20.682000000000002</v>
      </c>
      <c r="I12">
        <f>C12/H12</f>
        <v>1.1776976528934755</v>
      </c>
      <c r="J12" s="3">
        <f>E12</f>
        <v>89.580624859312479</v>
      </c>
      <c r="M12" s="9">
        <f t="shared" si="21"/>
        <v>0.10419375140687526</v>
      </c>
      <c r="N12" s="3">
        <f t="shared" si="22"/>
        <v>69.326974709074292</v>
      </c>
      <c r="O12" s="28">
        <f t="shared" si="23"/>
        <v>4.2545707696285639E-12</v>
      </c>
      <c r="P12" s="30">
        <f t="shared" si="24"/>
        <v>7.8695777370777435E-7</v>
      </c>
      <c r="Q12" s="31">
        <f t="shared" si="25"/>
        <v>189.40893572275422</v>
      </c>
      <c r="R12" s="32">
        <f t="shared" si="26"/>
        <v>0.12407664483366215</v>
      </c>
      <c r="S12" s="9">
        <f t="shared" si="19"/>
        <v>0.8759233551663379</v>
      </c>
    </row>
    <row r="13" spans="1:26" x14ac:dyDescent="0.25">
      <c r="A13" s="2"/>
      <c r="B13">
        <v>2.5</v>
      </c>
      <c r="C13" s="24">
        <v>24.785714285714292</v>
      </c>
      <c r="D13" s="3"/>
      <c r="E13" s="6">
        <v>91.264178413172061</v>
      </c>
      <c r="F13" s="4"/>
      <c r="G13">
        <v>300</v>
      </c>
      <c r="H13">
        <f t="shared" si="12"/>
        <v>20.682000000000002</v>
      </c>
      <c r="I13">
        <f t="shared" ref="I13:I14" si="28">C13/H13</f>
        <v>1.1984196057303109</v>
      </c>
      <c r="J13" s="3">
        <f t="shared" si="2"/>
        <v>91.264178413172061</v>
      </c>
      <c r="M13" s="9">
        <f t="shared" si="21"/>
        <v>8.735821586827941E-2</v>
      </c>
      <c r="N13" s="3">
        <f t="shared" si="22"/>
        <v>70.661454402914913</v>
      </c>
      <c r="O13" s="28">
        <f t="shared" si="23"/>
        <v>4.3546234331223238E-12</v>
      </c>
      <c r="P13" s="30">
        <f t="shared" si="24"/>
        <v>6.5902569169960451E-7</v>
      </c>
      <c r="Q13" s="31">
        <f t="shared" si="25"/>
        <v>185.05703967488128</v>
      </c>
      <c r="R13" s="32">
        <f t="shared" si="26"/>
        <v>0.10604506811954244</v>
      </c>
      <c r="S13" s="9">
        <f t="shared" si="19"/>
        <v>0.8939549318804576</v>
      </c>
    </row>
    <row r="14" spans="1:26" x14ac:dyDescent="0.25">
      <c r="A14" s="2"/>
      <c r="B14">
        <v>2.5</v>
      </c>
      <c r="C14" s="24">
        <v>23.942857142857147</v>
      </c>
      <c r="D14" s="3"/>
      <c r="E14" s="6">
        <v>90.811742194578841</v>
      </c>
      <c r="F14" s="4"/>
      <c r="G14">
        <v>300</v>
      </c>
      <c r="H14">
        <f t="shared" si="12"/>
        <v>20.682000000000002</v>
      </c>
      <c r="I14">
        <f t="shared" si="28"/>
        <v>1.157666431817868</v>
      </c>
      <c r="J14" s="3">
        <f t="shared" si="2"/>
        <v>90.811742194578841</v>
      </c>
      <c r="M14" s="9">
        <f>1-E14/100</f>
        <v>9.1882578054211628E-2</v>
      </c>
      <c r="N14" s="3">
        <f t="shared" si="22"/>
        <v>70.302714944406247</v>
      </c>
      <c r="O14" s="28">
        <f t="shared" si="23"/>
        <v>4.1999713940084137E-12</v>
      </c>
      <c r="P14" s="30">
        <f t="shared" si="24"/>
        <v>6.7292186227650972E-7</v>
      </c>
      <c r="Q14" s="31">
        <f t="shared" si="25"/>
        <v>191.8712404998993</v>
      </c>
      <c r="R14" s="32">
        <f t="shared" si="26"/>
        <v>0.10803954435958001</v>
      </c>
      <c r="S14" s="9">
        <f t="shared" si="19"/>
        <v>0.89196045564042004</v>
      </c>
    </row>
    <row r="15" spans="1:26" x14ac:dyDescent="0.25">
      <c r="A15" s="2" t="s">
        <v>20</v>
      </c>
      <c r="B15">
        <v>4</v>
      </c>
      <c r="C15" s="24">
        <v>24.5</v>
      </c>
      <c r="D15" s="3">
        <f>AVERAGE(C15:C17)</f>
        <v>20.966666666666669</v>
      </c>
      <c r="E15" s="6">
        <v>77.5</v>
      </c>
      <c r="F15" s="5">
        <f>AVERAGE(E15:E17)</f>
        <v>64.166666666666671</v>
      </c>
      <c r="G15">
        <v>300</v>
      </c>
      <c r="H15">
        <f t="shared" si="12"/>
        <v>20.682000000000002</v>
      </c>
      <c r="I15">
        <f t="shared" ref="I15:I17" si="29">C15/H15</f>
        <v>1.1846049705057538</v>
      </c>
      <c r="J15" s="3">
        <f t="shared" ref="J15:J17" si="30">E15</f>
        <v>77.5</v>
      </c>
      <c r="M15" s="9">
        <f t="shared" ref="M15:M16" si="31">1-E15/100</f>
        <v>0.22499999999999998</v>
      </c>
      <c r="N15" s="3">
        <f>((E15*B15/100)/229.2/(100-E15*B15/100)*1000)*694.2235-0.0596</f>
        <v>96.840140561237817</v>
      </c>
      <c r="O15" s="28">
        <f t="shared" ref="O15:O17" si="32">(C15/1000/3600)/(G15*6894-N15*6894)</f>
        <v>4.8590839326326405E-12</v>
      </c>
      <c r="P15" s="30">
        <f t="shared" ref="P15:P17" si="33">(C15/1000/3600)*M15/(1-M15)</f>
        <v>1.9758064516129033E-6</v>
      </c>
      <c r="Q15" s="31">
        <f t="shared" ref="Q15:Q17" si="34">(($O$1/1000/3600))/O15/6894</f>
        <v>165.84478321531606</v>
      </c>
      <c r="R15" s="32">
        <f t="shared" ref="R15:R17" si="35">P15/($O$1/1000/3600+P15)</f>
        <v>0.26234384295062463</v>
      </c>
      <c r="S15" s="9">
        <f t="shared" si="19"/>
        <v>0.73765615704937537</v>
      </c>
    </row>
    <row r="16" spans="1:26" x14ac:dyDescent="0.25">
      <c r="A16" s="2"/>
      <c r="B16">
        <v>4</v>
      </c>
      <c r="C16" s="24">
        <v>26.1</v>
      </c>
      <c r="D16" s="3"/>
      <c r="E16" s="6">
        <v>47.9</v>
      </c>
      <c r="F16" s="4"/>
      <c r="G16">
        <v>300</v>
      </c>
      <c r="H16">
        <f t="shared" si="12"/>
        <v>20.682000000000002</v>
      </c>
      <c r="I16">
        <f>C16/H16</f>
        <v>1.2619669277632724</v>
      </c>
      <c r="J16" s="3">
        <f t="shared" si="30"/>
        <v>47.9</v>
      </c>
      <c r="M16" s="9">
        <f t="shared" si="31"/>
        <v>0.52100000000000002</v>
      </c>
      <c r="N16" s="3">
        <f t="shared" si="22"/>
        <v>59.107738438335389</v>
      </c>
      <c r="O16" s="28">
        <f t="shared" si="32"/>
        <v>4.3655993748067769E-12</v>
      </c>
      <c r="P16" s="30">
        <f t="shared" si="33"/>
        <v>7.8856993736951988E-6</v>
      </c>
      <c r="Q16" s="31">
        <f t="shared" si="34"/>
        <v>184.59177131162042</v>
      </c>
      <c r="R16" s="32">
        <f t="shared" si="35"/>
        <v>0.58667880456120214</v>
      </c>
      <c r="S16" s="9">
        <f t="shared" si="19"/>
        <v>0.41332119543879786</v>
      </c>
    </row>
    <row r="17" spans="1:19" x14ac:dyDescent="0.25">
      <c r="A17" s="2"/>
      <c r="B17">
        <v>4</v>
      </c>
      <c r="C17" s="24">
        <v>12.3</v>
      </c>
      <c r="D17" s="3"/>
      <c r="E17" s="6">
        <v>67.099999999999994</v>
      </c>
      <c r="F17" s="4"/>
      <c r="G17">
        <v>300</v>
      </c>
      <c r="H17">
        <f t="shared" si="12"/>
        <v>20.682000000000002</v>
      </c>
      <c r="I17">
        <f t="shared" si="29"/>
        <v>0.59472004641717435</v>
      </c>
      <c r="J17" s="3">
        <f t="shared" si="30"/>
        <v>67.099999999999994</v>
      </c>
      <c r="M17" s="9">
        <f>1-E17/100</f>
        <v>0.32900000000000007</v>
      </c>
      <c r="N17" s="3">
        <f t="shared" si="22"/>
        <v>83.478185668207274</v>
      </c>
      <c r="O17" s="28">
        <f t="shared" si="32"/>
        <v>2.288915046321999E-12</v>
      </c>
      <c r="P17" s="30">
        <f t="shared" si="33"/>
        <v>1.6752359662195735E-6</v>
      </c>
      <c r="Q17" s="31">
        <f t="shared" si="34"/>
        <v>352.06799078340282</v>
      </c>
      <c r="R17" s="32">
        <f t="shared" si="35"/>
        <v>0.23168085557088638</v>
      </c>
      <c r="S17" s="9">
        <f t="shared" si="19"/>
        <v>0.76831914442911364</v>
      </c>
    </row>
    <row r="18" spans="1:19" x14ac:dyDescent="0.25">
      <c r="A18" s="2"/>
      <c r="C18" s="24"/>
      <c r="D18" s="3"/>
      <c r="E18" s="3"/>
      <c r="F18" s="4"/>
      <c r="J18" s="3"/>
      <c r="M18" s="9"/>
      <c r="N18" s="3"/>
      <c r="O18" s="28"/>
      <c r="P18" s="30"/>
      <c r="Q18" s="31"/>
      <c r="R18" s="32"/>
      <c r="S18" s="9"/>
    </row>
    <row r="19" spans="1:19" x14ac:dyDescent="0.25">
      <c r="A19" s="2" t="s">
        <v>6</v>
      </c>
      <c r="B19">
        <v>3.2</v>
      </c>
      <c r="C19" s="24"/>
      <c r="D19" s="3">
        <v>16.604761904761901</v>
      </c>
      <c r="E19" s="3"/>
      <c r="F19" s="4">
        <v>94.655475291439998</v>
      </c>
      <c r="G19">
        <v>300</v>
      </c>
      <c r="H19">
        <f t="shared" si="12"/>
        <v>20.682000000000002</v>
      </c>
      <c r="I19">
        <f t="shared" ref="I19:I21" si="36">D19/H19</f>
        <v>0.80286055046716465</v>
      </c>
      <c r="J19" s="3">
        <f t="shared" ref="J19:J21" si="37">F19</f>
        <v>94.655475291439998</v>
      </c>
      <c r="M19" s="9">
        <f t="shared" ref="M19:M21" si="38">1-F19/100</f>
        <v>5.3445247085600056E-2</v>
      </c>
      <c r="N19" s="3">
        <f t="shared" ref="N19:N21" si="39">((F19*B19/100)/229.2/(100-F19*B19/100)*1000)*694.2235-0.0596</f>
        <v>94.550702505011159</v>
      </c>
      <c r="O19" s="28">
        <f t="shared" ref="O19:O21" si="40">(D19/1000/3600)/(G19*6894-N19*6894)</f>
        <v>3.2565234677376114E-12</v>
      </c>
      <c r="P19" s="30">
        <f t="shared" ref="P19:P21" si="41">(D19/1000/3600)*M19/(1-M19)</f>
        <v>2.6043149293241071E-7</v>
      </c>
      <c r="Q19" s="31">
        <f t="shared" ref="Q19:Q21" si="42">(($O$1/1000/3600))/O19/6894</f>
        <v>247.458287777159</v>
      </c>
      <c r="R19" s="32">
        <f t="shared" ref="R19:R21" si="43">P19/($O$1/1000/3600+P19)</f>
        <v>4.477855448459387E-2</v>
      </c>
      <c r="S19" s="9">
        <f t="shared" ref="S19:S21" si="44">1-R19</f>
        <v>0.95522144551540611</v>
      </c>
    </row>
    <row r="20" spans="1:19" x14ac:dyDescent="0.25">
      <c r="A20" s="2" t="s">
        <v>7</v>
      </c>
      <c r="B20">
        <v>4.8</v>
      </c>
      <c r="C20" s="24"/>
      <c r="D20" s="3">
        <v>5.5571428571428578</v>
      </c>
      <c r="E20" s="3"/>
      <c r="F20" s="4">
        <v>96.107932499814225</v>
      </c>
      <c r="G20">
        <v>350</v>
      </c>
      <c r="H20">
        <f t="shared" si="12"/>
        <v>24.129000000000001</v>
      </c>
      <c r="I20">
        <f t="shared" si="36"/>
        <v>0.23030970438654141</v>
      </c>
      <c r="J20" s="3">
        <f t="shared" si="37"/>
        <v>96.107932499814225</v>
      </c>
      <c r="M20" s="9">
        <f t="shared" si="38"/>
        <v>3.8920675001857696E-2</v>
      </c>
      <c r="N20" s="3">
        <f t="shared" si="39"/>
        <v>146.4266301404455</v>
      </c>
      <c r="O20" s="28">
        <f t="shared" si="40"/>
        <v>1.0999091519313339E-12</v>
      </c>
      <c r="P20" s="30">
        <f t="shared" si="41"/>
        <v>6.2512978162503256E-8</v>
      </c>
      <c r="Q20" s="31">
        <f t="shared" si="42"/>
        <v>732.65480155109594</v>
      </c>
      <c r="R20" s="32">
        <f t="shared" si="43"/>
        <v>1.1127129864528714E-2</v>
      </c>
      <c r="S20" s="9">
        <f t="shared" si="44"/>
        <v>0.98887287013547132</v>
      </c>
    </row>
    <row r="21" spans="1:19" x14ac:dyDescent="0.25">
      <c r="A21" s="2" t="s">
        <v>8</v>
      </c>
      <c r="B21">
        <v>10.9</v>
      </c>
      <c r="C21" s="24"/>
      <c r="D21" s="3">
        <v>11.21904761904762</v>
      </c>
      <c r="E21" s="3"/>
      <c r="F21" s="4">
        <v>93.941155685195483</v>
      </c>
      <c r="G21">
        <v>350</v>
      </c>
      <c r="H21">
        <f t="shared" si="12"/>
        <v>24.129000000000001</v>
      </c>
      <c r="I21">
        <f t="shared" si="36"/>
        <v>0.46496115127222926</v>
      </c>
      <c r="J21" s="3">
        <f t="shared" si="37"/>
        <v>93.941155685195483</v>
      </c>
      <c r="M21" s="9">
        <f t="shared" si="38"/>
        <v>6.0588443148045124E-2</v>
      </c>
      <c r="N21" s="3">
        <f t="shared" si="39"/>
        <v>345.4676048598472</v>
      </c>
      <c r="O21" s="28">
        <f t="shared" si="40"/>
        <v>9.9736574097916971E-11</v>
      </c>
      <c r="P21" s="30">
        <f t="shared" si="41"/>
        <v>2.0099598634790228E-7</v>
      </c>
      <c r="Q21" s="31">
        <f t="shared" si="42"/>
        <v>8.0798215571484739</v>
      </c>
      <c r="R21" s="32">
        <f t="shared" si="43"/>
        <v>3.4916040425383051E-2</v>
      </c>
      <c r="S21" s="9">
        <f t="shared" si="44"/>
        <v>0.9650839595746169</v>
      </c>
    </row>
    <row r="22" spans="1:19" x14ac:dyDescent="0.25">
      <c r="C22" s="24"/>
    </row>
    <row r="23" spans="1:19" x14ac:dyDescent="0.25">
      <c r="C23" s="24"/>
    </row>
    <row r="24" spans="1:19" ht="18" x14ac:dyDescent="0.25">
      <c r="C24" s="24"/>
      <c r="D24" t="s">
        <v>99</v>
      </c>
      <c r="F24" s="15" t="s">
        <v>101</v>
      </c>
      <c r="G24" t="s">
        <v>112</v>
      </c>
      <c r="I24" t="s">
        <v>102</v>
      </c>
      <c r="J24" t="s">
        <v>103</v>
      </c>
    </row>
    <row r="25" spans="1:19" x14ac:dyDescent="0.25">
      <c r="A25" t="s">
        <v>32</v>
      </c>
      <c r="C25" s="24"/>
      <c r="D25">
        <v>2.5</v>
      </c>
      <c r="F25">
        <v>0.74518444840464004</v>
      </c>
      <c r="G25">
        <v>0.10883650453424097</v>
      </c>
      <c r="I25">
        <v>97.759645726585205</v>
      </c>
      <c r="J25">
        <f>STDEV(J9:J12)/2</f>
        <v>0.73198319250037869</v>
      </c>
    </row>
    <row r="26" spans="1:19" x14ac:dyDescent="0.25">
      <c r="A26" t="s">
        <v>20</v>
      </c>
      <c r="C26" s="24"/>
      <c r="D26">
        <v>4</v>
      </c>
      <c r="F26">
        <v>1.0273666666666701</v>
      </c>
      <c r="G26">
        <v>0.18428799020373901</v>
      </c>
      <c r="I26">
        <v>64.164835669201508</v>
      </c>
      <c r="J26">
        <v>7.5178130189818306</v>
      </c>
    </row>
    <row r="27" spans="1:19" x14ac:dyDescent="0.25">
      <c r="A27" t="s">
        <v>19</v>
      </c>
      <c r="C27" s="24"/>
      <c r="D27">
        <v>4</v>
      </c>
      <c r="F27">
        <v>0.32052222222222199</v>
      </c>
      <c r="G27">
        <v>2.4240383736725424E-2</v>
      </c>
      <c r="I27">
        <v>94.29907961708399</v>
      </c>
      <c r="J27">
        <v>0.79309051984324697</v>
      </c>
    </row>
    <row r="28" spans="1:19" x14ac:dyDescent="0.25">
      <c r="C28" s="24"/>
    </row>
    <row r="29" spans="1:19" x14ac:dyDescent="0.25">
      <c r="J29" s="9"/>
    </row>
    <row r="30" spans="1:19" x14ac:dyDescent="0.25">
      <c r="J30" s="9"/>
    </row>
    <row r="31" spans="1:19" x14ac:dyDescent="0.25">
      <c r="J31" s="9"/>
    </row>
    <row r="32" spans="1:19" x14ac:dyDescent="0.25">
      <c r="B32" s="40"/>
      <c r="C32" s="40"/>
      <c r="D32" s="40"/>
      <c r="E32" s="40"/>
      <c r="F32" s="40"/>
      <c r="G32" s="40"/>
      <c r="H32" s="40"/>
      <c r="I32" s="40"/>
      <c r="J32" s="40"/>
      <c r="K32" s="40">
        <v>20</v>
      </c>
      <c r="L32" s="40"/>
      <c r="M32" s="40"/>
      <c r="N32" s="40"/>
      <c r="O32" s="40"/>
      <c r="P32" s="40"/>
      <c r="Q32" s="40"/>
      <c r="R32" s="40"/>
      <c r="S32" s="40"/>
    </row>
    <row r="33" spans="2:19" ht="18.75" x14ac:dyDescent="0.3">
      <c r="B33" s="40"/>
      <c r="C33" s="40"/>
      <c r="D33" s="40" t="s">
        <v>99</v>
      </c>
      <c r="E33" s="40"/>
      <c r="F33" s="40" t="s">
        <v>147</v>
      </c>
      <c r="G33" s="40" t="s">
        <v>154</v>
      </c>
      <c r="H33" s="41" t="s">
        <v>155</v>
      </c>
      <c r="I33" s="40" t="s">
        <v>102</v>
      </c>
      <c r="J33" s="40" t="s">
        <v>128</v>
      </c>
      <c r="K33" s="42" t="s">
        <v>156</v>
      </c>
      <c r="L33" s="42" t="s">
        <v>129</v>
      </c>
      <c r="M33" s="42" t="s">
        <v>130</v>
      </c>
      <c r="N33" s="43" t="s">
        <v>134</v>
      </c>
      <c r="O33" s="43" t="s">
        <v>128</v>
      </c>
      <c r="P33" s="43" t="s">
        <v>105</v>
      </c>
      <c r="Q33" s="40"/>
      <c r="R33" s="40"/>
      <c r="S33" s="40"/>
    </row>
    <row r="34" spans="2:19" x14ac:dyDescent="0.25">
      <c r="B34" s="40"/>
      <c r="C34" s="40"/>
      <c r="D34" s="40">
        <v>1</v>
      </c>
      <c r="E34" s="40"/>
      <c r="F34" s="40">
        <v>300</v>
      </c>
      <c r="G34" s="40">
        <v>15.9</v>
      </c>
      <c r="H34" s="40">
        <f>G34/(F34/14.7)</f>
        <v>0.77910000000000001</v>
      </c>
      <c r="I34" s="40">
        <v>97.3</v>
      </c>
      <c r="J34" s="44">
        <f>1-I34/100</f>
        <v>2.7000000000000024E-2</v>
      </c>
      <c r="K34" s="45">
        <f>((I34*D34/100)/229.2/(100-D34*I34/100)*1000)*694.2235-0.0596</f>
        <v>29.701152994877507</v>
      </c>
      <c r="L34" s="46">
        <f>(G34/1000/3600)/(F34*6894-K34*6894)</f>
        <v>2.3701681144303398E-12</v>
      </c>
      <c r="M34" s="43">
        <f>(G34/1000/3600)*J34/(1-J34)</f>
        <v>1.2255909558067844E-7</v>
      </c>
      <c r="N34" s="47">
        <f>(($O$1/1000/3600))/L34/6894</f>
        <v>339.99854969197798</v>
      </c>
      <c r="O34" s="48">
        <f>M34/($O$1/1000/3600+M34)</f>
        <v>2.1584470041680723E-2</v>
      </c>
      <c r="P34" s="44">
        <f>1-O34</f>
        <v>0.97841552995831926</v>
      </c>
      <c r="Q34" s="40"/>
      <c r="R34" s="40"/>
      <c r="S34" s="40"/>
    </row>
    <row r="35" spans="2:19" x14ac:dyDescent="0.25">
      <c r="B35" s="40"/>
      <c r="C35" s="40"/>
      <c r="D35" s="40">
        <v>3</v>
      </c>
      <c r="E35" s="40"/>
      <c r="F35" s="40">
        <v>350</v>
      </c>
      <c r="G35" s="40">
        <v>4.2</v>
      </c>
      <c r="H35" s="40">
        <f t="shared" ref="H35:H37" si="45">G35/(F35/14.7)</f>
        <v>0.1764</v>
      </c>
      <c r="I35" s="40">
        <v>97.9</v>
      </c>
      <c r="J35" s="44">
        <f t="shared" ref="J35:J37" si="46">1-I35/100</f>
        <v>2.0999999999999908E-2</v>
      </c>
      <c r="K35" s="45">
        <f>((I35*D35/100)/229.2/(100-D35*I35/100)*1000)*694.2235-0.0596</f>
        <v>91.590920081063558</v>
      </c>
      <c r="L35" s="46">
        <f>(G35/1000/3600)/(F35*6894-K35*6894)</f>
        <v>6.5488906796119404E-13</v>
      </c>
      <c r="M35" s="43">
        <f t="shared" ref="M35:M37" si="47">(G35/1000/3600)*J35/(1-J35)</f>
        <v>2.5025536261491207E-8</v>
      </c>
      <c r="N35" s="47">
        <f>(($O$1/1000/3600))/L35/6894</f>
        <v>1230.5194281854115</v>
      </c>
      <c r="O35" s="48">
        <f>M35/($O$1/1000/3600+M35)</f>
        <v>4.4843961318269902E-3</v>
      </c>
      <c r="P35" s="44">
        <f>1-O35</f>
        <v>0.99551560386817306</v>
      </c>
      <c r="Q35" s="40"/>
      <c r="R35" s="40"/>
      <c r="S35" s="40"/>
    </row>
    <row r="36" spans="2:19" x14ac:dyDescent="0.25">
      <c r="B36" s="40"/>
      <c r="C36" s="40"/>
      <c r="D36" s="40">
        <v>4.8</v>
      </c>
      <c r="E36" s="40"/>
      <c r="F36" s="40">
        <v>350</v>
      </c>
      <c r="G36" s="40">
        <v>2</v>
      </c>
      <c r="H36" s="40">
        <f t="shared" si="45"/>
        <v>8.3999999999999991E-2</v>
      </c>
      <c r="I36" s="40">
        <v>95.8</v>
      </c>
      <c r="J36" s="44">
        <f t="shared" si="46"/>
        <v>4.2000000000000037E-2</v>
      </c>
      <c r="K36" s="45">
        <f>((I36*D36/100)/229.2/(100-D36*I36/100)*1000)*694.2235-0.0596</f>
        <v>145.93466148120842</v>
      </c>
      <c r="L36" s="46">
        <f>(G36/1000/3600)/(F36*6894-K36*6894)</f>
        <v>3.9489985280291865E-13</v>
      </c>
      <c r="M36" s="43">
        <f t="shared" si="47"/>
        <v>2.4356297842727927E-8</v>
      </c>
      <c r="N36" s="47">
        <f t="shared" ref="N36:N37" si="48">(($O$1/1000/3600))/L36/6894</f>
        <v>2040.6533851879158</v>
      </c>
      <c r="O36" s="48">
        <f t="shared" ref="O36:O37" si="49">M36/($O$1/1000/3600+M36)</f>
        <v>4.3649968821450882E-3</v>
      </c>
      <c r="P36" s="44">
        <f t="shared" ref="P36:P37" si="50">1-O36</f>
        <v>0.99563500311785491</v>
      </c>
      <c r="Q36" s="40"/>
      <c r="R36" s="40"/>
      <c r="S36" s="40"/>
    </row>
    <row r="37" spans="2:19" x14ac:dyDescent="0.25">
      <c r="B37" s="40"/>
      <c r="C37" s="40"/>
      <c r="D37" s="40">
        <v>6.4</v>
      </c>
      <c r="E37" s="40"/>
      <c r="F37" s="40">
        <v>350</v>
      </c>
      <c r="G37" s="40">
        <v>1.4</v>
      </c>
      <c r="H37" s="40">
        <f t="shared" si="45"/>
        <v>5.8799999999999991E-2</v>
      </c>
      <c r="I37" s="40">
        <v>94.9</v>
      </c>
      <c r="J37" s="44">
        <f t="shared" si="46"/>
        <v>5.0999999999999934E-2</v>
      </c>
      <c r="K37" s="45">
        <f>((I37*D37/100)/229.2/(100-D37*I37/100)*1000)*694.2235-0.0596</f>
        <v>195.79925299906722</v>
      </c>
      <c r="L37" s="46">
        <f>(G37/1000/3600)/(F37*6894-K37*6894)</f>
        <v>3.6582028036435367E-13</v>
      </c>
      <c r="M37" s="43">
        <f t="shared" si="47"/>
        <v>2.0899192132068817E-8</v>
      </c>
      <c r="N37" s="47">
        <f t="shared" si="48"/>
        <v>2202.8678142990398</v>
      </c>
      <c r="O37" s="48">
        <f t="shared" si="49"/>
        <v>3.7477560704200163E-3</v>
      </c>
      <c r="P37" s="44">
        <f t="shared" si="50"/>
        <v>0.99625224392958001</v>
      </c>
      <c r="Q37" s="40"/>
      <c r="R37" s="40"/>
      <c r="S37" s="40"/>
    </row>
    <row r="38" spans="2:19" x14ac:dyDescent="0.25">
      <c r="B38" s="40"/>
      <c r="C38" s="40" t="s">
        <v>152</v>
      </c>
      <c r="D38" s="40">
        <v>2.5</v>
      </c>
      <c r="E38" s="40"/>
      <c r="F38" s="40"/>
      <c r="G38" s="40"/>
      <c r="H38" s="40"/>
      <c r="I38" s="40"/>
      <c r="J38" s="40"/>
      <c r="K38" s="40"/>
      <c r="L38" s="40"/>
      <c r="M38" s="40"/>
      <c r="N38" s="40">
        <v>130.38999999999999</v>
      </c>
      <c r="O38" s="40"/>
      <c r="P38" s="40">
        <v>98.53</v>
      </c>
      <c r="Q38" s="40" t="s">
        <v>153</v>
      </c>
      <c r="R38" s="40"/>
      <c r="S38" s="40"/>
    </row>
    <row r="39" spans="2:19" x14ac:dyDescent="0.2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2:19" x14ac:dyDescent="0.2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2:19" x14ac:dyDescent="0.25">
      <c r="B41" s="40"/>
      <c r="C41" s="40"/>
      <c r="D41" s="40"/>
      <c r="E41" s="40"/>
      <c r="F41" s="40"/>
      <c r="G41" s="40"/>
      <c r="H41" s="40"/>
      <c r="I41" s="40"/>
      <c r="J41" s="44"/>
      <c r="K41" s="40"/>
      <c r="L41" s="40"/>
      <c r="M41" s="40"/>
      <c r="N41" s="40"/>
      <c r="O41" s="40"/>
      <c r="P41" s="40"/>
      <c r="Q41" s="40"/>
      <c r="R41" s="40"/>
      <c r="S41" s="40"/>
    </row>
    <row r="42" spans="2:19" x14ac:dyDescent="0.25">
      <c r="B42" s="40"/>
      <c r="C42" s="40"/>
      <c r="D42" s="40"/>
      <c r="E42" s="40"/>
      <c r="F42" s="40"/>
      <c r="G42" s="40"/>
      <c r="H42" s="40"/>
      <c r="I42" s="40"/>
      <c r="J42" s="44"/>
      <c r="K42" s="40"/>
      <c r="L42" s="40"/>
      <c r="M42" s="40"/>
      <c r="N42" s="40"/>
      <c r="O42" s="40"/>
      <c r="P42" s="40"/>
      <c r="Q42" s="40"/>
      <c r="R42" s="40"/>
      <c r="S42" s="40"/>
    </row>
    <row r="43" spans="2:19" x14ac:dyDescent="0.25">
      <c r="B43" s="40"/>
      <c r="K43">
        <v>20</v>
      </c>
    </row>
    <row r="44" spans="2:19" ht="18.75" x14ac:dyDescent="0.3">
      <c r="B44" s="40"/>
      <c r="D44" t="s">
        <v>99</v>
      </c>
      <c r="F44" t="s">
        <v>147</v>
      </c>
      <c r="G44" t="s">
        <v>151</v>
      </c>
      <c r="H44" s="15" t="s">
        <v>101</v>
      </c>
      <c r="I44" t="s">
        <v>102</v>
      </c>
      <c r="J44" t="s">
        <v>128</v>
      </c>
      <c r="K44" s="26" t="s">
        <v>131</v>
      </c>
      <c r="L44" s="26" t="s">
        <v>129</v>
      </c>
      <c r="M44" s="26" t="s">
        <v>130</v>
      </c>
      <c r="N44" s="29" t="s">
        <v>134</v>
      </c>
      <c r="O44" s="29" t="s">
        <v>128</v>
      </c>
      <c r="P44" s="29" t="s">
        <v>105</v>
      </c>
    </row>
    <row r="45" spans="2:19" x14ac:dyDescent="0.25">
      <c r="B45" s="40"/>
      <c r="D45">
        <v>1.8</v>
      </c>
      <c r="F45">
        <v>150</v>
      </c>
      <c r="G45">
        <v>18.3</v>
      </c>
      <c r="H45">
        <f>G45/(F45/14.7)</f>
        <v>1.7934000000000001</v>
      </c>
      <c r="I45">
        <v>97.5</v>
      </c>
      <c r="J45" s="9">
        <f>1-I45/100</f>
        <v>2.5000000000000022E-2</v>
      </c>
      <c r="K45" s="3">
        <f>((I45*D45/100)/229.2/(100-D45*I45/100)*1000)*694.2235-0.0596</f>
        <v>54.047139175674431</v>
      </c>
      <c r="L45" s="28">
        <f>(G45/1000/3600)/(F45*6894-K45*6894)</f>
        <v>7.6845666588378876E-12</v>
      </c>
      <c r="M45" s="30">
        <f>(G45/1000/3600)*J45/(1-J45)</f>
        <v>1.3034188034188048E-7</v>
      </c>
      <c r="N45" s="31">
        <f>(($O$1/1000/3600))/L45/6894</f>
        <v>104.86651456210446</v>
      </c>
      <c r="O45" s="32">
        <f>M45/($O$1/1000/3600+M45)</f>
        <v>2.2923712889891038E-2</v>
      </c>
      <c r="P45" s="9">
        <f>1-O45</f>
        <v>0.97707628711010897</v>
      </c>
    </row>
    <row r="46" spans="2:19" x14ac:dyDescent="0.25">
      <c r="B46" s="40"/>
      <c r="D46" s="40">
        <v>2.5</v>
      </c>
      <c r="J46" s="9"/>
      <c r="K46" s="3"/>
      <c r="L46" s="28"/>
      <c r="M46" s="30"/>
      <c r="N46" s="40">
        <v>130.38999999999999</v>
      </c>
      <c r="O46" s="32"/>
      <c r="P46" s="40">
        <v>0.98529999999999995</v>
      </c>
      <c r="Q46" s="40" t="s">
        <v>153</v>
      </c>
    </row>
    <row r="47" spans="2:19" x14ac:dyDescent="0.25">
      <c r="B47" s="40"/>
      <c r="D47">
        <v>3.2</v>
      </c>
      <c r="F47">
        <v>300</v>
      </c>
      <c r="G47">
        <v>19.100000000000001</v>
      </c>
      <c r="H47">
        <f t="shared" ref="H47:H50" si="51">G47/(F47/14.7)</f>
        <v>0.93590000000000007</v>
      </c>
      <c r="I47">
        <v>94.655475291440041</v>
      </c>
      <c r="J47" s="9">
        <f t="shared" ref="J47:J50" si="52">1-I47/100</f>
        <v>5.3445247085599612E-2</v>
      </c>
      <c r="K47" s="3">
        <f>((I47*D47/100)/229.2/(100-D47*I47/100)*1000)*694.2235-0.0596</f>
        <v>94.550702505011188</v>
      </c>
      <c r="L47" s="28">
        <f>(G47/1000/3600)/(F47*6894-K47*6894)</f>
        <v>3.7458891967581203E-12</v>
      </c>
      <c r="M47" s="30">
        <f t="shared" ref="M47:M50" si="53">(G47/1000/3600)*J47/(1-J47)</f>
        <v>2.9956716895666498E-7</v>
      </c>
      <c r="N47" s="31">
        <f>(($O$1/1000/3600))/L47/6894</f>
        <v>215.13015444501445</v>
      </c>
      <c r="O47" s="32">
        <f>M47/($O$1/1000/3600+M47)</f>
        <v>5.1163260456102796E-2</v>
      </c>
      <c r="P47" s="9">
        <f>1-O47</f>
        <v>0.94883673954389725</v>
      </c>
    </row>
    <row r="48" spans="2:19" x14ac:dyDescent="0.25">
      <c r="B48" s="40"/>
      <c r="C48" s="40" t="s">
        <v>157</v>
      </c>
      <c r="D48" s="40">
        <v>4</v>
      </c>
      <c r="F48">
        <v>350</v>
      </c>
      <c r="J48" s="9"/>
      <c r="K48" s="3"/>
      <c r="L48" s="28"/>
      <c r="M48" s="30"/>
      <c r="N48">
        <v>241.99485852638722</v>
      </c>
      <c r="O48" s="32"/>
      <c r="P48">
        <v>0.98113762527381887</v>
      </c>
    </row>
    <row r="49" spans="2:19" x14ac:dyDescent="0.25">
      <c r="B49" s="40"/>
      <c r="D49">
        <v>4.8</v>
      </c>
      <c r="F49">
        <v>350</v>
      </c>
      <c r="G49">
        <v>11.1</v>
      </c>
      <c r="H49">
        <f t="shared" si="51"/>
        <v>0.46619999999999995</v>
      </c>
      <c r="I49">
        <v>96.107932499814225</v>
      </c>
      <c r="J49" s="9">
        <f t="shared" si="52"/>
        <v>3.8920675001857696E-2</v>
      </c>
      <c r="K49" s="3">
        <f>((I49*D49/100)/229.2/(100-D49*I49/100)*1000)*694.2235-0.0596</f>
        <v>146.4266301404455</v>
      </c>
      <c r="L49" s="28">
        <f>(G49/1000/3600)/(F49*6894-K49*6894)</f>
        <v>2.1969907739091167E-12</v>
      </c>
      <c r="M49" s="30">
        <f t="shared" si="53"/>
        <v>1.2486525458165818E-7</v>
      </c>
      <c r="N49" s="31">
        <f t="shared" ref="N49:N50" si="54">(($O$1/1000/3600))/L49/6894</f>
        <v>366.7988646118099</v>
      </c>
      <c r="O49" s="32">
        <f t="shared" ref="O49:O50" si="55">M49/($O$1/1000/3600+M49)</f>
        <v>2.1981690926634358E-2</v>
      </c>
      <c r="P49" s="9">
        <f t="shared" ref="P49" si="56">1-O49</f>
        <v>0.97801830907336562</v>
      </c>
    </row>
    <row r="50" spans="2:19" x14ac:dyDescent="0.25">
      <c r="B50" s="40"/>
      <c r="D50">
        <v>10.9</v>
      </c>
      <c r="F50">
        <v>350</v>
      </c>
      <c r="G50">
        <v>5.5</v>
      </c>
      <c r="H50">
        <f t="shared" si="51"/>
        <v>0.23099999999999998</v>
      </c>
      <c r="I50">
        <v>93.941155685195483</v>
      </c>
      <c r="J50" s="9">
        <f t="shared" si="52"/>
        <v>6.0588443148045124E-2</v>
      </c>
      <c r="K50" s="3">
        <f>((I50*D50/100)/229.2/(100-D50*I50/100)*1000)*694.2235-0.0596</f>
        <v>345.4676048598472</v>
      </c>
      <c r="L50" s="28">
        <f>(G50/1000/3600)/(F50*6894-K50*6894)</f>
        <v>4.889462779418255E-11</v>
      </c>
      <c r="M50" s="30">
        <f t="shared" si="53"/>
        <v>9.8535808247804367E-8</v>
      </c>
      <c r="N50" s="31">
        <f t="shared" si="54"/>
        <v>16.481436873282949</v>
      </c>
      <c r="O50" s="32">
        <f t="shared" si="55"/>
        <v>1.742734630689128E-2</v>
      </c>
      <c r="P50" s="9">
        <f>1-O50</f>
        <v>0.98257265369310876</v>
      </c>
    </row>
    <row r="51" spans="2:19" x14ac:dyDescent="0.25">
      <c r="B51" s="40"/>
      <c r="E51" s="40"/>
      <c r="F51" s="40"/>
      <c r="G51" s="40"/>
      <c r="H51" s="40"/>
      <c r="I51" s="40"/>
      <c r="J51" s="40"/>
      <c r="K51" s="40"/>
      <c r="L51" s="40"/>
      <c r="M51" s="40"/>
      <c r="O51" s="40"/>
      <c r="R51" s="40"/>
      <c r="S51" s="40"/>
    </row>
    <row r="52" spans="2:19" x14ac:dyDescent="0.25">
      <c r="B52" s="40"/>
    </row>
    <row r="53" spans="2:19" x14ac:dyDescent="0.25">
      <c r="B53" s="40"/>
    </row>
    <row r="54" spans="2:19" x14ac:dyDescent="0.25">
      <c r="B54" s="40"/>
    </row>
    <row r="55" spans="2:19" x14ac:dyDescent="0.25">
      <c r="B55" s="40"/>
    </row>
    <row r="56" spans="2:19" x14ac:dyDescent="0.25">
      <c r="B56" s="40"/>
    </row>
    <row r="57" spans="2:19" x14ac:dyDescent="0.25">
      <c r="B57" s="40"/>
    </row>
    <row r="58" spans="2:19" x14ac:dyDescent="0.25">
      <c r="B58" s="40"/>
    </row>
    <row r="59" spans="2:19" x14ac:dyDescent="0.25">
      <c r="B59" s="40"/>
    </row>
    <row r="60" spans="2:19" x14ac:dyDescent="0.25">
      <c r="B60" s="40"/>
    </row>
    <row r="61" spans="2:19" x14ac:dyDescent="0.25">
      <c r="B61" s="40"/>
    </row>
    <row r="62" spans="2:19" x14ac:dyDescent="0.25">
      <c r="B62" s="40"/>
    </row>
    <row r="63" spans="2:19" x14ac:dyDescent="0.25">
      <c r="B63" s="40"/>
    </row>
    <row r="64" spans="2:19" x14ac:dyDescent="0.25">
      <c r="B64" s="40"/>
    </row>
    <row r="65" spans="2:2" x14ac:dyDescent="0.25">
      <c r="B65" s="40"/>
    </row>
    <row r="66" spans="2:2" x14ac:dyDescent="0.25">
      <c r="B66" s="40"/>
    </row>
    <row r="67" spans="2:2" x14ac:dyDescent="0.25">
      <c r="B67" s="40"/>
    </row>
    <row r="68" spans="2:2" x14ac:dyDescent="0.25">
      <c r="B68" s="40"/>
    </row>
  </sheetData>
  <mergeCells count="1">
    <mergeCell ref="A1:K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Normal="100" workbookViewId="0">
      <selection activeCell="K52" sqref="K52"/>
    </sheetView>
  </sheetViews>
  <sheetFormatPr defaultRowHeight="15" x14ac:dyDescent="0.25"/>
  <cols>
    <col min="1" max="1" width="29.28515625" customWidth="1"/>
    <col min="2" max="2" width="21.28515625" customWidth="1"/>
    <col min="3" max="3" width="19.85546875" customWidth="1"/>
    <col min="4" max="4" width="21.42578125" customWidth="1"/>
    <col min="5" max="5" width="31.140625" customWidth="1"/>
    <col min="6" max="6" width="23.42578125" customWidth="1"/>
    <col min="7" max="7" width="29.5703125" customWidth="1"/>
    <col min="8" max="8" width="24.42578125" customWidth="1"/>
    <col min="9" max="9" width="14.5703125" customWidth="1"/>
    <col min="10" max="10" width="28.140625" customWidth="1"/>
    <col min="11" max="11" width="9.28515625" bestFit="1" customWidth="1"/>
    <col min="12" max="12" width="13.140625" bestFit="1" customWidth="1"/>
    <col min="13" max="13" width="12.5703125" bestFit="1" customWidth="1"/>
    <col min="15" max="15" width="22.42578125" customWidth="1"/>
    <col min="17" max="17" width="27.7109375" customWidth="1"/>
  </cols>
  <sheetData>
    <row r="1" spans="1:17" ht="15.75" x14ac:dyDescent="0.25">
      <c r="A1" s="51" t="s">
        <v>125</v>
      </c>
      <c r="B1" s="51"/>
      <c r="C1" s="51"/>
      <c r="D1" s="51"/>
      <c r="E1" s="51"/>
      <c r="F1" s="51"/>
      <c r="G1" s="52"/>
      <c r="H1" s="52"/>
      <c r="L1">
        <v>25</v>
      </c>
      <c r="M1" t="s">
        <v>133</v>
      </c>
    </row>
    <row r="2" spans="1:17" ht="18" x14ac:dyDescent="0.25">
      <c r="B2" t="s">
        <v>144</v>
      </c>
      <c r="C2" s="16" t="s">
        <v>23</v>
      </c>
      <c r="D2" s="15" t="s">
        <v>97</v>
      </c>
      <c r="E2" s="15" t="s">
        <v>100</v>
      </c>
      <c r="F2" s="15" t="s">
        <v>98</v>
      </c>
      <c r="G2" t="s">
        <v>99</v>
      </c>
    </row>
    <row r="3" spans="1:17" ht="17.25" x14ac:dyDescent="0.3">
      <c r="I3" s="1"/>
      <c r="J3" t="s">
        <v>128</v>
      </c>
      <c r="K3" s="26" t="s">
        <v>131</v>
      </c>
      <c r="L3" s="26" t="s">
        <v>129</v>
      </c>
      <c r="M3" s="26" t="s">
        <v>130</v>
      </c>
      <c r="N3" s="29" t="s">
        <v>134</v>
      </c>
      <c r="O3" s="29" t="s">
        <v>128</v>
      </c>
      <c r="P3" s="29" t="s">
        <v>105</v>
      </c>
    </row>
    <row r="4" spans="1:17" x14ac:dyDescent="0.25">
      <c r="A4" s="2" t="s">
        <v>49</v>
      </c>
      <c r="B4" s="5">
        <v>1.8</v>
      </c>
      <c r="C4" s="17">
        <v>350</v>
      </c>
      <c r="D4" s="5">
        <v>23.685714285714301</v>
      </c>
      <c r="E4">
        <f>D4/(350*0.06894)</f>
        <v>0.98162850867065765</v>
      </c>
      <c r="F4" s="3">
        <v>98.808154533167823</v>
      </c>
      <c r="G4">
        <v>1.8</v>
      </c>
      <c r="H4" s="2" t="s">
        <v>50</v>
      </c>
      <c r="I4" s="1"/>
      <c r="J4" s="9">
        <f>1-F4/100</f>
        <v>1.1918454668321754E-2</v>
      </c>
      <c r="K4" s="3">
        <f>((B4*F4/100)/229.2/(100-B4*F4/100)*1000)*694.2235-0.0596</f>
        <v>54.786232774187233</v>
      </c>
      <c r="L4" s="28">
        <f>(D4/1000/3600)/(C4*6894-K4*6894)</f>
        <v>3.2327796195441991E-12</v>
      </c>
      <c r="M4" s="30">
        <f>(D4/1000/3600)*J4/(1-J4)</f>
        <v>7.9361733669895995E-8</v>
      </c>
      <c r="N4" s="31">
        <f>(($L$1/1000/3600))/L4/6894</f>
        <v>311.59474827814961</v>
      </c>
      <c r="O4" s="32">
        <f>M4/($L$1/1000/3600+M4)</f>
        <v>1.1298964074091519E-2</v>
      </c>
      <c r="P4" s="9">
        <f>1-O4</f>
        <v>0.98870103592590852</v>
      </c>
      <c r="Q4" s="2"/>
    </row>
    <row r="5" spans="1:17" x14ac:dyDescent="0.25">
      <c r="A5" s="2" t="s">
        <v>51</v>
      </c>
      <c r="B5" s="4">
        <v>1.3</v>
      </c>
      <c r="C5" s="17">
        <v>350</v>
      </c>
      <c r="D5" s="4">
        <v>31.882539682539687</v>
      </c>
      <c r="E5">
        <f>D5/(350*0.06894)</f>
        <v>1.3213369672402373</v>
      </c>
      <c r="F5" s="3">
        <v>99.27911183545443</v>
      </c>
      <c r="G5">
        <v>1.3</v>
      </c>
      <c r="H5" s="2" t="s">
        <v>52</v>
      </c>
      <c r="I5" s="1"/>
      <c r="J5" s="9">
        <f t="shared" ref="J5:J21" si="0">1-F5/100</f>
        <v>7.2088816454557447E-3</v>
      </c>
      <c r="K5" s="3">
        <f t="shared" ref="K5:K21" si="1">((B5*F5/100)/229.2/(100-B5*F5/100)*1000)*694.2235-0.0596</f>
        <v>39.543350792637391</v>
      </c>
      <c r="L5" s="28">
        <f>(D5/1000/3600)/(C5*6894-K5*6894)</f>
        <v>4.1378825864239527E-12</v>
      </c>
      <c r="M5" s="30">
        <f t="shared" ref="M5:M21" si="2">(D5/1000/3600)*J5/(1-J5)</f>
        <v>6.4307321404489805E-8</v>
      </c>
      <c r="N5" s="31">
        <f t="shared" ref="N5:N21" si="3">(($L$1/1000/3600))/L5/6894</f>
        <v>243.43782858787017</v>
      </c>
      <c r="O5" s="32">
        <f t="shared" ref="O5:O21" si="4">M5/($L$1/1000/3600+M5)</f>
        <v>9.1752887750762829E-3</v>
      </c>
      <c r="P5" s="9">
        <f t="shared" ref="P5:P21" si="5">1-O5</f>
        <v>0.99082471122492377</v>
      </c>
      <c r="Q5" s="2"/>
    </row>
    <row r="6" spans="1:17" x14ac:dyDescent="0.25">
      <c r="A6" s="2" t="s">
        <v>53</v>
      </c>
      <c r="B6" s="5">
        <v>1.7</v>
      </c>
      <c r="C6" s="17">
        <v>300</v>
      </c>
      <c r="D6" s="5">
        <v>16.353333333333332</v>
      </c>
      <c r="E6">
        <f t="shared" ref="E6:E11" si="6">D6/(300*0.06894)</f>
        <v>0.79070367146955467</v>
      </c>
      <c r="F6" s="3">
        <v>99.113915071058273</v>
      </c>
      <c r="G6">
        <v>1.7</v>
      </c>
      <c r="H6" s="2" t="s">
        <v>54</v>
      </c>
      <c r="J6" s="9">
        <f t="shared" si="0"/>
        <v>8.8608492894173274E-3</v>
      </c>
      <c r="K6" s="3">
        <f t="shared" si="1"/>
        <v>51.850060257619504</v>
      </c>
      <c r="L6" s="28">
        <f t="shared" ref="L6:L21" si="7">(D6/1000/3600)/(C6*6894-K6*6894)</f>
        <v>2.655328979361E-12</v>
      </c>
      <c r="M6" s="30">
        <f t="shared" si="2"/>
        <v>4.0611076978776346E-8</v>
      </c>
      <c r="N6" s="31">
        <f t="shared" si="3"/>
        <v>379.35681778798499</v>
      </c>
      <c r="O6" s="32">
        <f t="shared" si="4"/>
        <v>5.813994871511307E-3</v>
      </c>
      <c r="P6" s="9">
        <f t="shared" si="5"/>
        <v>0.99418600512848865</v>
      </c>
      <c r="Q6" s="2"/>
    </row>
    <row r="7" spans="1:17" x14ac:dyDescent="0.25">
      <c r="A7" s="2" t="s">
        <v>55</v>
      </c>
      <c r="B7" s="6">
        <v>0.6</v>
      </c>
      <c r="C7" s="17">
        <v>300</v>
      </c>
      <c r="D7" s="6">
        <v>17.077777777777772</v>
      </c>
      <c r="E7">
        <f t="shared" si="6"/>
        <v>0.82573144656115316</v>
      </c>
      <c r="F7" s="3">
        <v>98.396058879145045</v>
      </c>
      <c r="G7">
        <v>0.6</v>
      </c>
      <c r="H7" s="2" t="s">
        <v>56</v>
      </c>
      <c r="J7" s="9">
        <f t="shared" si="0"/>
        <v>1.603941120854957E-2</v>
      </c>
      <c r="K7" s="3">
        <f t="shared" si="1"/>
        <v>17.928497047626241</v>
      </c>
      <c r="L7" s="28">
        <f t="shared" si="7"/>
        <v>2.4394861997709307E-12</v>
      </c>
      <c r="M7" s="30">
        <f t="shared" si="2"/>
        <v>7.7328498108752369E-8</v>
      </c>
      <c r="N7" s="31">
        <f t="shared" si="3"/>
        <v>412.92184882422976</v>
      </c>
      <c r="O7" s="32">
        <f t="shared" si="4"/>
        <v>1.1012674254977383E-2</v>
      </c>
      <c r="P7" s="9">
        <f t="shared" si="5"/>
        <v>0.98898732574502257</v>
      </c>
      <c r="Q7" s="2"/>
    </row>
    <row r="8" spans="1:17" x14ac:dyDescent="0.25">
      <c r="A8" s="2" t="s">
        <v>57</v>
      </c>
      <c r="B8" s="6">
        <v>1.8</v>
      </c>
      <c r="C8" s="17">
        <v>300</v>
      </c>
      <c r="D8" s="6">
        <v>7.4158730158730153</v>
      </c>
      <c r="E8">
        <f t="shared" si="6"/>
        <v>0.35856653205072114</v>
      </c>
      <c r="F8" s="3">
        <v>93.054509307188411</v>
      </c>
      <c r="G8">
        <v>1.8</v>
      </c>
      <c r="H8" s="2" t="s">
        <v>58</v>
      </c>
      <c r="J8" s="9">
        <f t="shared" si="0"/>
        <v>6.9454906928115845E-2</v>
      </c>
      <c r="K8" s="3">
        <f t="shared" si="1"/>
        <v>51.538129057693062</v>
      </c>
      <c r="L8" s="28">
        <f t="shared" si="7"/>
        <v>1.2026209182212261E-12</v>
      </c>
      <c r="M8" s="30">
        <f t="shared" si="2"/>
        <v>1.5375360036671812E-7</v>
      </c>
      <c r="N8" s="31">
        <f t="shared" si="3"/>
        <v>837.60155550970364</v>
      </c>
      <c r="O8" s="32">
        <f t="shared" si="4"/>
        <v>2.166093414075889E-2</v>
      </c>
      <c r="P8" s="9">
        <f t="shared" si="5"/>
        <v>0.97833906585924113</v>
      </c>
      <c r="Q8" s="2"/>
    </row>
    <row r="9" spans="1:17" x14ac:dyDescent="0.25">
      <c r="A9" s="2" t="s">
        <v>59</v>
      </c>
      <c r="B9" s="6">
        <v>1</v>
      </c>
      <c r="C9" s="17">
        <v>300</v>
      </c>
      <c r="D9" s="6">
        <v>8.412698412698413</v>
      </c>
      <c r="E9">
        <f t="shared" si="6"/>
        <v>0.40676425938973076</v>
      </c>
      <c r="F9" s="3">
        <v>91.086653171185276</v>
      </c>
      <c r="G9">
        <v>1</v>
      </c>
      <c r="H9" s="2" t="s">
        <v>60</v>
      </c>
      <c r="J9" s="9">
        <f t="shared" si="0"/>
        <v>8.9133468288147277E-2</v>
      </c>
      <c r="K9" s="3">
        <f t="shared" si="1"/>
        <v>27.78323231846322</v>
      </c>
      <c r="L9" s="28">
        <f t="shared" si="7"/>
        <v>1.2452216630338744E-12</v>
      </c>
      <c r="M9" s="30">
        <f t="shared" si="2"/>
        <v>2.2867510133355953E-7</v>
      </c>
      <c r="N9" s="31">
        <f t="shared" si="3"/>
        <v>808.94605490268009</v>
      </c>
      <c r="O9" s="32">
        <f t="shared" si="4"/>
        <v>3.1879449362886253E-2</v>
      </c>
      <c r="P9" s="9">
        <f t="shared" si="5"/>
        <v>0.96812055063711377</v>
      </c>
      <c r="Q9" s="2"/>
    </row>
    <row r="10" spans="1:17" x14ac:dyDescent="0.25">
      <c r="A10" s="2" t="s">
        <v>61</v>
      </c>
      <c r="B10" s="6">
        <v>1.4</v>
      </c>
      <c r="C10" s="17">
        <v>300</v>
      </c>
      <c r="D10" s="6">
        <v>13.174603174603178</v>
      </c>
      <c r="E10">
        <f t="shared" si="6"/>
        <v>0.63700817979901248</v>
      </c>
      <c r="F10" s="3">
        <v>70.483122406875196</v>
      </c>
      <c r="G10">
        <v>1.4</v>
      </c>
      <c r="H10" s="2" t="s">
        <v>62</v>
      </c>
      <c r="J10" s="9">
        <f t="shared" si="0"/>
        <v>0.29516877593124802</v>
      </c>
      <c r="K10" s="3">
        <f t="shared" si="1"/>
        <v>30.126333603629998</v>
      </c>
      <c r="L10" s="28">
        <f t="shared" si="7"/>
        <v>1.9669949903628341E-12</v>
      </c>
      <c r="M10" s="30">
        <f t="shared" si="2"/>
        <v>1.5325700046393235E-6</v>
      </c>
      <c r="N10" s="31">
        <f t="shared" si="3"/>
        <v>512.10966816178632</v>
      </c>
      <c r="O10" s="32">
        <f t="shared" si="4"/>
        <v>0.18079124600347593</v>
      </c>
      <c r="P10" s="9">
        <f t="shared" si="5"/>
        <v>0.81920875399652404</v>
      </c>
      <c r="Q10" s="2"/>
    </row>
    <row r="11" spans="1:17" x14ac:dyDescent="0.25">
      <c r="A11" s="2" t="s">
        <v>63</v>
      </c>
      <c r="B11" s="6">
        <v>1</v>
      </c>
      <c r="C11" s="17">
        <v>300</v>
      </c>
      <c r="D11" s="6">
        <v>14.523809523809527</v>
      </c>
      <c r="E11">
        <f t="shared" si="6"/>
        <v>0.7022439572483089</v>
      </c>
      <c r="F11" s="3">
        <v>85.195985584494736</v>
      </c>
      <c r="G11">
        <v>1</v>
      </c>
      <c r="H11" s="2" t="s">
        <v>64</v>
      </c>
      <c r="J11" s="9">
        <f t="shared" si="0"/>
        <v>0.14804014415505262</v>
      </c>
      <c r="K11" s="3">
        <f t="shared" si="1"/>
        <v>25.967135285114942</v>
      </c>
      <c r="L11" s="28">
        <f t="shared" si="7"/>
        <v>2.1355223152368732E-12</v>
      </c>
      <c r="M11" s="30">
        <f t="shared" si="2"/>
        <v>7.0103291866599863E-7</v>
      </c>
      <c r="N11" s="31">
        <f t="shared" si="3"/>
        <v>471.69591467316269</v>
      </c>
      <c r="O11" s="32">
        <f t="shared" si="4"/>
        <v>9.1692498109862214E-2</v>
      </c>
      <c r="P11" s="9">
        <f t="shared" si="5"/>
        <v>0.90830750189013776</v>
      </c>
      <c r="Q11" s="2"/>
    </row>
    <row r="12" spans="1:17" x14ac:dyDescent="0.25">
      <c r="A12" s="2" t="s">
        <v>65</v>
      </c>
      <c r="B12" s="6">
        <v>1</v>
      </c>
      <c r="C12" s="17">
        <v>150</v>
      </c>
      <c r="D12" s="6">
        <v>11.630476190476191</v>
      </c>
      <c r="E12">
        <f>D12/(150*0.06894)</f>
        <v>1.1246955024152587</v>
      </c>
      <c r="F12" s="3">
        <v>98.294782792997424</v>
      </c>
      <c r="G12">
        <v>1</v>
      </c>
      <c r="H12" s="2" t="s">
        <v>66</v>
      </c>
      <c r="J12" s="9">
        <f t="shared" si="0"/>
        <v>1.705217207002574E-2</v>
      </c>
      <c r="K12" s="3">
        <f t="shared" si="1"/>
        <v>30.008443645392678</v>
      </c>
      <c r="L12" s="28">
        <f t="shared" si="7"/>
        <v>3.9054675199099046E-12</v>
      </c>
      <c r="M12" s="30">
        <f t="shared" si="2"/>
        <v>5.6045949976250144E-8</v>
      </c>
      <c r="N12" s="31">
        <f t="shared" si="3"/>
        <v>257.92485705113353</v>
      </c>
      <c r="O12" s="32">
        <f t="shared" si="4"/>
        <v>8.0060034109779056E-3</v>
      </c>
      <c r="P12" s="9">
        <f t="shared" si="5"/>
        <v>0.9919939965890221</v>
      </c>
      <c r="Q12" s="2"/>
    </row>
    <row r="13" spans="1:17" x14ac:dyDescent="0.25">
      <c r="A13" s="2" t="s">
        <v>67</v>
      </c>
      <c r="B13" s="6">
        <v>0.5</v>
      </c>
      <c r="C13" s="17">
        <v>150</v>
      </c>
      <c r="D13" s="6">
        <v>11.424761904761905</v>
      </c>
      <c r="E13">
        <f>D13/(150*0.06894)</f>
        <v>1.1048024276918966</v>
      </c>
      <c r="F13" s="3">
        <v>92.150538010371292</v>
      </c>
      <c r="G13">
        <v>0.5</v>
      </c>
      <c r="H13" s="2" t="s">
        <v>68</v>
      </c>
      <c r="J13" s="9">
        <f t="shared" si="0"/>
        <v>7.8494619896287032E-2</v>
      </c>
      <c r="K13" s="3">
        <f t="shared" si="1"/>
        <v>13.960729635926144</v>
      </c>
      <c r="L13" s="28">
        <f t="shared" si="7"/>
        <v>3.3838342681466763E-12</v>
      </c>
      <c r="M13" s="30">
        <f t="shared" si="2"/>
        <v>2.7032528707987438E-7</v>
      </c>
      <c r="N13" s="31">
        <f t="shared" si="3"/>
        <v>297.68513229884451</v>
      </c>
      <c r="O13" s="32">
        <f t="shared" si="4"/>
        <v>3.7468318066855438E-2</v>
      </c>
      <c r="P13" s="9">
        <f t="shared" si="5"/>
        <v>0.96253168193314453</v>
      </c>
      <c r="Q13" s="2"/>
    </row>
    <row r="14" spans="1:17" x14ac:dyDescent="0.25">
      <c r="A14" s="2" t="s">
        <v>69</v>
      </c>
      <c r="B14" s="6">
        <v>1.2</v>
      </c>
      <c r="C14" s="17">
        <v>150</v>
      </c>
      <c r="D14" s="6">
        <v>6.2476190476190485</v>
      </c>
      <c r="E14">
        <f>D14/(150*0.06894)</f>
        <v>0.60416004715395488</v>
      </c>
      <c r="F14" s="3">
        <v>81.951781614934177</v>
      </c>
      <c r="G14">
        <v>1.2</v>
      </c>
      <c r="H14" s="2" t="s">
        <v>70</v>
      </c>
      <c r="J14" s="9">
        <f t="shared" si="0"/>
        <v>0.18048218385065828</v>
      </c>
      <c r="K14" s="3">
        <f t="shared" si="1"/>
        <v>30.023073296157168</v>
      </c>
      <c r="L14" s="28">
        <f t="shared" si="7"/>
        <v>2.0981813745088343E-12</v>
      </c>
      <c r="M14" s="30">
        <f t="shared" si="2"/>
        <v>3.8219761919115799E-7</v>
      </c>
      <c r="N14" s="31">
        <f t="shared" si="3"/>
        <v>480.09059847193197</v>
      </c>
      <c r="O14" s="32">
        <f t="shared" si="4"/>
        <v>5.2165455316579928E-2</v>
      </c>
      <c r="P14" s="9">
        <f t="shared" si="5"/>
        <v>0.9478345446834201</v>
      </c>
      <c r="Q14" s="2"/>
    </row>
    <row r="15" spans="1:17" x14ac:dyDescent="0.25">
      <c r="A15" s="2" t="s">
        <v>71</v>
      </c>
      <c r="B15" s="6">
        <v>0.7</v>
      </c>
      <c r="C15" s="17">
        <v>150</v>
      </c>
      <c r="D15" s="6">
        <v>19.191428571428577</v>
      </c>
      <c r="E15">
        <f>D15/(150*0.06894)</f>
        <v>1.8558580960669737</v>
      </c>
      <c r="F15" s="3">
        <v>15.090192220336311</v>
      </c>
      <c r="G15">
        <v>0.7</v>
      </c>
      <c r="H15" s="2" t="s">
        <v>72</v>
      </c>
      <c r="J15" s="9">
        <f t="shared" si="0"/>
        <v>0.84909807779663693</v>
      </c>
      <c r="K15" s="3">
        <f t="shared" si="1"/>
        <v>3.1432492866244894</v>
      </c>
      <c r="L15" s="28">
        <f t="shared" si="7"/>
        <v>5.2654999033976566E-12</v>
      </c>
      <c r="M15" s="30">
        <f t="shared" si="2"/>
        <v>2.9996313853391015E-5</v>
      </c>
      <c r="N15" s="31">
        <f t="shared" si="3"/>
        <v>191.30513156796715</v>
      </c>
      <c r="O15" s="32">
        <f t="shared" si="4"/>
        <v>0.81201131854265818</v>
      </c>
      <c r="P15" s="9">
        <f t="shared" si="5"/>
        <v>0.18798868145734182</v>
      </c>
      <c r="Q15" s="2"/>
    </row>
    <row r="16" spans="1:17" x14ac:dyDescent="0.25">
      <c r="A16" s="2" t="s">
        <v>73</v>
      </c>
      <c r="B16" s="6">
        <v>1.8</v>
      </c>
      <c r="C16" s="17">
        <v>300</v>
      </c>
      <c r="D16" s="6">
        <v>18.595238095238098</v>
      </c>
      <c r="E16">
        <f>D16/(300*0.06894)</f>
        <v>0.89910250919824464</v>
      </c>
      <c r="F16" s="3">
        <v>96.459973726722708</v>
      </c>
      <c r="G16">
        <v>1.8</v>
      </c>
      <c r="H16" s="2" t="s">
        <v>6</v>
      </c>
      <c r="J16" s="9">
        <f t="shared" si="0"/>
        <v>3.5400262732772969E-2</v>
      </c>
      <c r="K16" s="3">
        <f t="shared" si="1"/>
        <v>53.459787985890429</v>
      </c>
      <c r="L16" s="28">
        <f t="shared" si="7"/>
        <v>3.039066466591898E-12</v>
      </c>
      <c r="M16" s="30">
        <f t="shared" si="2"/>
        <v>1.8956518921137537E-7</v>
      </c>
      <c r="N16" s="31">
        <f t="shared" si="3"/>
        <v>331.456110902452</v>
      </c>
      <c r="O16" s="32">
        <f t="shared" si="4"/>
        <v>2.6572039981144907E-2</v>
      </c>
      <c r="P16" s="9">
        <f t="shared" si="5"/>
        <v>0.97342796001885512</v>
      </c>
      <c r="Q16" s="2"/>
    </row>
    <row r="17" spans="1:17" x14ac:dyDescent="0.25">
      <c r="A17" s="2" t="s">
        <v>74</v>
      </c>
      <c r="B17" s="6">
        <v>3.2</v>
      </c>
      <c r="C17" s="17">
        <v>300</v>
      </c>
      <c r="D17" s="6">
        <v>12.22857142857143</v>
      </c>
      <c r="E17">
        <f>D17/(300*0.06894)</f>
        <v>0.59126638761103512</v>
      </c>
      <c r="F17" s="3">
        <v>97.980108126601849</v>
      </c>
      <c r="G17">
        <v>3.2</v>
      </c>
      <c r="H17" s="2" t="s">
        <v>7</v>
      </c>
      <c r="J17" s="9">
        <f t="shared" si="0"/>
        <v>2.0198918733981497E-2</v>
      </c>
      <c r="K17" s="3">
        <f t="shared" si="1"/>
        <v>97.981310750602731</v>
      </c>
      <c r="L17" s="28">
        <f t="shared" si="7"/>
        <v>2.4389921125940214E-12</v>
      </c>
      <c r="M17" s="30">
        <f t="shared" si="2"/>
        <v>7.0026663019544323E-8</v>
      </c>
      <c r="N17" s="31">
        <f t="shared" si="3"/>
        <v>413.00549788136129</v>
      </c>
      <c r="O17" s="32">
        <f t="shared" si="4"/>
        <v>9.9831707831870668E-3</v>
      </c>
      <c r="P17" s="9">
        <f t="shared" si="5"/>
        <v>0.99001682921681289</v>
      </c>
      <c r="Q17" s="2"/>
    </row>
    <row r="18" spans="1:17" x14ac:dyDescent="0.25">
      <c r="A18" s="2" t="s">
        <v>75</v>
      </c>
      <c r="B18" s="6">
        <v>2.5</v>
      </c>
      <c r="C18" s="17">
        <v>300</v>
      </c>
      <c r="D18" s="6">
        <v>22.028571428571428</v>
      </c>
      <c r="E18">
        <f>D18/(300*0.06894)</f>
        <v>1.0651083758133366</v>
      </c>
      <c r="F18" s="3">
        <v>93.951583097673037</v>
      </c>
      <c r="G18">
        <v>2.5</v>
      </c>
      <c r="H18" s="2" t="s">
        <v>38</v>
      </c>
      <c r="J18" s="9">
        <f t="shared" si="0"/>
        <v>6.0484169023269585E-2</v>
      </c>
      <c r="K18" s="3">
        <f t="shared" si="1"/>
        <v>72.794026966577263</v>
      </c>
      <c r="L18" s="28">
        <f t="shared" si="7"/>
        <v>3.9065448030594381E-12</v>
      </c>
      <c r="M18" s="30">
        <f t="shared" si="2"/>
        <v>3.9393217043202557E-7</v>
      </c>
      <c r="N18" s="31">
        <f t="shared" si="3"/>
        <v>257.85373074480538</v>
      </c>
      <c r="O18" s="32">
        <f t="shared" si="4"/>
        <v>5.3681105659450647E-2</v>
      </c>
      <c r="P18" s="9">
        <f t="shared" si="5"/>
        <v>0.94631889434054939</v>
      </c>
      <c r="Q18" s="2"/>
    </row>
    <row r="19" spans="1:17" x14ac:dyDescent="0.25">
      <c r="A19" s="2" t="s">
        <v>76</v>
      </c>
      <c r="B19" s="6">
        <v>2</v>
      </c>
      <c r="C19" s="17">
        <v>300</v>
      </c>
      <c r="D19" s="6">
        <v>24.361904761904768</v>
      </c>
      <c r="E19">
        <f>D19/(300*0.06894)</f>
        <v>1.1779278968138849</v>
      </c>
      <c r="F19" s="3">
        <v>92.751833037383065</v>
      </c>
      <c r="G19">
        <v>2</v>
      </c>
      <c r="H19" s="2" t="s">
        <v>40</v>
      </c>
      <c r="J19" s="9">
        <f t="shared" si="0"/>
        <v>7.2481669626169309E-2</v>
      </c>
      <c r="K19" s="3">
        <f t="shared" si="1"/>
        <v>57.189567710990573</v>
      </c>
      <c r="L19" s="28">
        <f t="shared" si="7"/>
        <v>4.0426870107041484E-12</v>
      </c>
      <c r="M19" s="30">
        <f t="shared" si="2"/>
        <v>5.2882798304999855E-7</v>
      </c>
      <c r="N19" s="31">
        <f t="shared" si="3"/>
        <v>249.1702051441163</v>
      </c>
      <c r="O19" s="32">
        <f t="shared" si="4"/>
        <v>7.0762572645474683E-2</v>
      </c>
      <c r="P19" s="9">
        <f t="shared" si="5"/>
        <v>0.9292374273545253</v>
      </c>
      <c r="Q19" s="2"/>
    </row>
    <row r="20" spans="1:17" x14ac:dyDescent="0.25">
      <c r="A20" s="2" t="s">
        <v>77</v>
      </c>
      <c r="B20" s="4">
        <v>3.5</v>
      </c>
      <c r="C20" s="17">
        <v>300</v>
      </c>
      <c r="D20" s="4">
        <v>16.604761904761908</v>
      </c>
      <c r="E20">
        <f>D20/(300*0.06894)</f>
        <v>0.80286055046716498</v>
      </c>
      <c r="F20" s="3">
        <v>94.655475291440041</v>
      </c>
      <c r="G20">
        <v>3.5</v>
      </c>
      <c r="H20" s="2" t="s">
        <v>6</v>
      </c>
      <c r="J20" s="9">
        <f t="shared" si="0"/>
        <v>5.3445247085599612E-2</v>
      </c>
      <c r="K20" s="3">
        <f t="shared" si="1"/>
        <v>103.72433547084147</v>
      </c>
      <c r="L20" s="28">
        <f t="shared" si="7"/>
        <v>3.4087285366100188E-12</v>
      </c>
      <c r="M20" s="30">
        <f t="shared" si="2"/>
        <v>2.604314929324086E-7</v>
      </c>
      <c r="N20" s="31">
        <f t="shared" si="3"/>
        <v>295.51110948611478</v>
      </c>
      <c r="O20" s="32">
        <f t="shared" si="4"/>
        <v>3.6146561744576873E-2</v>
      </c>
      <c r="P20" s="9">
        <f t="shared" si="5"/>
        <v>0.96385343825542313</v>
      </c>
      <c r="Q20" s="2"/>
    </row>
    <row r="21" spans="1:17" x14ac:dyDescent="0.25">
      <c r="A21" s="2" t="s">
        <v>78</v>
      </c>
      <c r="B21" s="4">
        <v>12</v>
      </c>
      <c r="C21" s="17">
        <v>350</v>
      </c>
      <c r="D21" s="4">
        <v>5.5571428571428578</v>
      </c>
      <c r="E21">
        <f>D21/(350*0.06894)</f>
        <v>0.23030970438654141</v>
      </c>
      <c r="F21" s="3">
        <v>96.107932499814225</v>
      </c>
      <c r="G21">
        <v>12</v>
      </c>
      <c r="H21" s="2" t="s">
        <v>7</v>
      </c>
      <c r="J21" s="9">
        <f t="shared" si="0"/>
        <v>3.8920675001857696E-2</v>
      </c>
      <c r="K21" s="3">
        <f t="shared" si="1"/>
        <v>394.80085526688885</v>
      </c>
      <c r="L21" s="28">
        <f t="shared" si="7"/>
        <v>-4.9979450451142198E-12</v>
      </c>
      <c r="M21" s="30">
        <f t="shared" si="2"/>
        <v>6.2512978162503256E-8</v>
      </c>
      <c r="N21" s="31">
        <f t="shared" si="3"/>
        <v>-201.54626405412716</v>
      </c>
      <c r="O21" s="32">
        <f t="shared" si="4"/>
        <v>8.9215581588685065E-3</v>
      </c>
      <c r="P21" s="9">
        <f t="shared" si="5"/>
        <v>0.99107844184113147</v>
      </c>
      <c r="Q21" s="2"/>
    </row>
    <row r="24" spans="1:17" x14ac:dyDescent="0.25">
      <c r="A24" t="s">
        <v>25</v>
      </c>
    </row>
    <row r="25" spans="1:17" ht="18" x14ac:dyDescent="0.25">
      <c r="B25" s="15" t="s">
        <v>102</v>
      </c>
      <c r="C25" t="s">
        <v>103</v>
      </c>
      <c r="D25" s="15" t="s">
        <v>101</v>
      </c>
      <c r="E25" t="s">
        <v>103</v>
      </c>
      <c r="H25" s="15" t="s">
        <v>145</v>
      </c>
      <c r="I25" t="s">
        <v>103</v>
      </c>
      <c r="J25" s="15" t="s">
        <v>146</v>
      </c>
      <c r="K25" t="s">
        <v>103</v>
      </c>
    </row>
    <row r="26" spans="1:17" x14ac:dyDescent="0.25">
      <c r="A26" t="s">
        <v>86</v>
      </c>
      <c r="B26" s="3">
        <f>AVERAGE(F8:F9)</f>
        <v>92.070581239186851</v>
      </c>
      <c r="C26" s="24">
        <f>STDEV(F8:F9)/2</f>
        <v>0.69574220908368689</v>
      </c>
      <c r="D26" s="3">
        <f>AVERAGE(E8:E9)</f>
        <v>0.38266539572022595</v>
      </c>
      <c r="E26">
        <f>STDEV(E8:E9)/2</f>
        <v>1.7040469919596977E-2</v>
      </c>
      <c r="G26" t="s">
        <v>86</v>
      </c>
      <c r="H26" s="9">
        <f>AVERAGE(P8:P9)</f>
        <v>0.9732298082481774</v>
      </c>
      <c r="I26" s="9">
        <f>STDEV(P8:P9)/2</f>
        <v>3.6127907036121064E-3</v>
      </c>
      <c r="J26" s="24">
        <f>AVERAGE(N8:N9)</f>
        <v>823.27380520619181</v>
      </c>
      <c r="K26" s="24">
        <f>STDEV(N8:N9)/2</f>
        <v>10.131249398760792</v>
      </c>
    </row>
    <row r="27" spans="1:17" x14ac:dyDescent="0.25">
      <c r="A27" t="s">
        <v>88</v>
      </c>
      <c r="B27" s="3">
        <f>AVERAGE(F12:F13)</f>
        <v>95.222660401684351</v>
      </c>
      <c r="C27" s="24">
        <f>STDEV(F12:F13)/2</f>
        <v>2.172318575532501</v>
      </c>
      <c r="D27" s="3">
        <f>AVERAGE(E12:E13)</f>
        <v>1.1147489650535776</v>
      </c>
      <c r="E27">
        <f>STDEV(E12:E13)/2</f>
        <v>7.0332640177700224E-3</v>
      </c>
      <c r="G27" t="s">
        <v>88</v>
      </c>
      <c r="H27" s="9">
        <f>AVERAGE(P12:P13)</f>
        <v>0.97726283926108337</v>
      </c>
      <c r="I27" s="9">
        <f>STDEV(P11:P12)/2</f>
        <v>2.9587643947656589E-2</v>
      </c>
      <c r="J27" s="24">
        <f>AVERAGE(N12:N13)</f>
        <v>277.80499467498902</v>
      </c>
      <c r="K27" s="24">
        <f>STDEV(N12:N13)/2</f>
        <v>14.057380124750035</v>
      </c>
    </row>
    <row r="28" spans="1:17" x14ac:dyDescent="0.25">
      <c r="A28" t="s">
        <v>91</v>
      </c>
      <c r="B28" s="3">
        <f>AVERAGE(F10:F11)</f>
        <v>77.839553995684966</v>
      </c>
      <c r="C28" s="24">
        <f>STDEV(F10:F11)/2</f>
        <v>5.2017826617823157</v>
      </c>
      <c r="D28" s="3">
        <f>AVERAGE(E10:E11)</f>
        <v>0.66962606852366069</v>
      </c>
      <c r="E28">
        <f>STDEV(E10:E11)/2</f>
        <v>2.3064330305186981E-2</v>
      </c>
      <c r="G28" t="s">
        <v>91</v>
      </c>
      <c r="H28" s="9">
        <f>AVERAGE(P10:P11)</f>
        <v>0.86375812794333084</v>
      </c>
      <c r="I28" s="9">
        <f>STDEV(P10:P11)/2</f>
        <v>3.150116441540244E-2</v>
      </c>
      <c r="J28" s="24">
        <f>AVERAGE(N9:N10)</f>
        <v>660.52786153223315</v>
      </c>
      <c r="K28" s="24">
        <f>STDEV(N10:N11)/2</f>
        <v>14.28841957250363</v>
      </c>
    </row>
    <row r="29" spans="1:17" x14ac:dyDescent="0.25">
      <c r="A29" t="s">
        <v>21</v>
      </c>
      <c r="B29" s="3">
        <f>AVERAGE(F4:F7)</f>
        <v>98.899310079706396</v>
      </c>
      <c r="C29" s="24">
        <f>STDEV(F4:F7)/2</f>
        <v>0.19405235129418369</v>
      </c>
      <c r="D29" s="3">
        <f>AVERAGE(E4:E7)</f>
        <v>0.97985014848540075</v>
      </c>
      <c r="E29">
        <f>STDEV(E4:E7)/2</f>
        <v>0.12115601993523586</v>
      </c>
      <c r="G29" t="s">
        <v>21</v>
      </c>
      <c r="H29" s="9">
        <f>AVERAGE(P4:P7)</f>
        <v>0.9906747695060858</v>
      </c>
      <c r="I29" s="9">
        <f>STDEV(P4:P7)/2</f>
        <v>1.2614260715340339E-3</v>
      </c>
      <c r="J29" s="24">
        <f>AVERAGE(N4:N7)</f>
        <v>336.82781086955862</v>
      </c>
      <c r="K29" s="24">
        <f>STDEV(N4:N7)/2</f>
        <v>37.591460998510655</v>
      </c>
    </row>
    <row r="30" spans="1:17" x14ac:dyDescent="0.25">
      <c r="A30" t="s">
        <v>87</v>
      </c>
      <c r="B30" s="3">
        <f>AVERAGE(F14)</f>
        <v>81.951781614934177</v>
      </c>
      <c r="C30" s="24">
        <v>0</v>
      </c>
      <c r="D30" s="3">
        <f>AVERAGE(E14)</f>
        <v>0.60416004715395488</v>
      </c>
      <c r="E30">
        <v>0</v>
      </c>
      <c r="G30" t="s">
        <v>87</v>
      </c>
      <c r="H30" s="9">
        <f>AVERAGE(P14)</f>
        <v>0.9478345446834201</v>
      </c>
      <c r="I30" s="9">
        <v>0</v>
      </c>
      <c r="J30" s="24">
        <f>AVERAGE(N14)</f>
        <v>480.09059847193197</v>
      </c>
      <c r="K30" s="24">
        <v>0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C19" workbookViewId="0">
      <selection activeCell="D51" sqref="D51"/>
    </sheetView>
  </sheetViews>
  <sheetFormatPr defaultRowHeight="15" x14ac:dyDescent="0.25"/>
  <cols>
    <col min="2" max="2" width="20.42578125" customWidth="1"/>
    <col min="3" max="3" width="22.140625" customWidth="1"/>
    <col min="4" max="4" width="29.5703125" customWidth="1"/>
    <col min="5" max="5" width="31.140625" customWidth="1"/>
    <col min="6" max="6" width="13.28515625" customWidth="1"/>
    <col min="7" max="7" width="12.42578125" customWidth="1"/>
    <col min="8" max="8" width="26.42578125" customWidth="1"/>
    <col min="9" max="9" width="33.28515625" customWidth="1"/>
    <col min="10" max="10" width="39" customWidth="1"/>
    <col min="11" max="11" width="37.42578125" customWidth="1"/>
    <col min="12" max="12" width="15.85546875" customWidth="1"/>
    <col min="13" max="13" width="14.7109375" customWidth="1"/>
  </cols>
  <sheetData>
    <row r="1" spans="1:18" ht="15.75" x14ac:dyDescent="0.25">
      <c r="A1" s="51" t="s">
        <v>126</v>
      </c>
      <c r="B1" s="51"/>
      <c r="C1" s="51"/>
      <c r="D1" s="51"/>
      <c r="E1" s="51"/>
      <c r="F1" s="51"/>
      <c r="G1" s="52"/>
      <c r="H1" s="52"/>
      <c r="L1">
        <v>20</v>
      </c>
      <c r="M1" t="s">
        <v>133</v>
      </c>
    </row>
    <row r="2" spans="1:18" ht="18.75" x14ac:dyDescent="0.3">
      <c r="B2" s="15" t="s">
        <v>98</v>
      </c>
      <c r="C2" s="15" t="s">
        <v>97</v>
      </c>
      <c r="D2" t="s">
        <v>99</v>
      </c>
      <c r="E2" t="s">
        <v>132</v>
      </c>
      <c r="F2" s="15" t="s">
        <v>100</v>
      </c>
      <c r="I2" t="s">
        <v>128</v>
      </c>
      <c r="J2" s="26" t="s">
        <v>131</v>
      </c>
      <c r="K2" s="26" t="s">
        <v>129</v>
      </c>
      <c r="L2" s="26" t="s">
        <v>130</v>
      </c>
      <c r="M2" s="29" t="s">
        <v>134</v>
      </c>
      <c r="N2" s="29" t="s">
        <v>128</v>
      </c>
      <c r="O2" s="29" t="s">
        <v>105</v>
      </c>
    </row>
    <row r="3" spans="1:18" x14ac:dyDescent="0.25">
      <c r="A3" t="s">
        <v>1</v>
      </c>
      <c r="B3" s="3">
        <v>92.685500295440505</v>
      </c>
      <c r="C3" s="3">
        <v>5.5238095238095202</v>
      </c>
      <c r="D3" s="27">
        <v>4</v>
      </c>
      <c r="E3">
        <v>300</v>
      </c>
      <c r="F3">
        <f>C3/(E3/14.7)</f>
        <v>0.2706666666666665</v>
      </c>
      <c r="G3" t="s">
        <v>6</v>
      </c>
      <c r="I3" s="9">
        <f t="shared" ref="I3:I16" si="0">1-B3/100</f>
        <v>7.3144997045594962E-2</v>
      </c>
      <c r="J3" s="3">
        <f t="shared" ref="J3:J16" si="1">((B3*D3/100)/229.2/(100-B3*D3/100)*1000)*694.2235-0.0596</f>
        <v>116.55788317980613</v>
      </c>
      <c r="K3" s="28">
        <f>(C3/1000/3600)/(E3*6894-J3*6894)</f>
        <v>1.2132934732783477E-12</v>
      </c>
      <c r="L3" s="30">
        <f>(C3/1000/3600)*I3/(1-I3)</f>
        <v>1.2109020708967974E-7</v>
      </c>
      <c r="M3" s="31">
        <f>(($L$1/1000/3600))/K3/6894</f>
        <v>664.18697469380572</v>
      </c>
      <c r="N3" s="32">
        <f>L3/($L$1/1000/3600+L3)</f>
        <v>2.1331295302325408E-2</v>
      </c>
      <c r="O3" s="9">
        <f>1-N3</f>
        <v>0.97866870469767464</v>
      </c>
    </row>
    <row r="4" spans="1:18" x14ac:dyDescent="0.25">
      <c r="A4" t="s">
        <v>1</v>
      </c>
      <c r="B4" s="3">
        <v>94.355375027271904</v>
      </c>
      <c r="C4" s="3">
        <v>7.5000000000000009</v>
      </c>
      <c r="D4" s="27">
        <v>4</v>
      </c>
      <c r="E4">
        <v>300</v>
      </c>
      <c r="F4">
        <f>C4/(E4/14.7)</f>
        <v>0.36750000000000005</v>
      </c>
      <c r="G4" t="s">
        <v>7</v>
      </c>
      <c r="I4" s="9">
        <f t="shared" si="0"/>
        <v>5.6446249727280962E-2</v>
      </c>
      <c r="J4" s="3">
        <f t="shared" si="1"/>
        <v>118.74133843359377</v>
      </c>
      <c r="K4" s="28">
        <f t="shared" ref="K4:K16" si="2">(C4/1000/3600)/(E4*6894-J4*6894)</f>
        <v>1.6672038893240385E-12</v>
      </c>
      <c r="L4" s="30">
        <f t="shared" ref="L4:L16" si="3">(C4/1000/3600)*I4/(1-I4)</f>
        <v>1.2463132446298123E-7</v>
      </c>
      <c r="M4" s="31">
        <f t="shared" ref="M4:M16" si="4">(($L$1/1000/3600))/K4/6894</f>
        <v>483.35643084374993</v>
      </c>
      <c r="N4" s="32">
        <f t="shared" ref="N4:N13" si="5">L4/($L$1/1000/3600+L4)</f>
        <v>2.1941412685100688E-2</v>
      </c>
      <c r="O4" s="9">
        <f t="shared" ref="O4:O16" si="6">1-N4</f>
        <v>0.97805858731489936</v>
      </c>
    </row>
    <row r="5" spans="1:18" x14ac:dyDescent="0.25">
      <c r="A5" t="s">
        <v>1</v>
      </c>
      <c r="B5" s="3">
        <v>95.856363528539532</v>
      </c>
      <c r="C5" s="3">
        <v>6.6000000000000014</v>
      </c>
      <c r="D5" s="27">
        <v>4</v>
      </c>
      <c r="E5">
        <v>300</v>
      </c>
      <c r="F5">
        <f t="shared" ref="F5:F16" si="7">C5/(E5/14.7)</f>
        <v>0.32340000000000008</v>
      </c>
      <c r="G5" t="s">
        <v>8</v>
      </c>
      <c r="I5" s="9">
        <f t="shared" si="0"/>
        <v>4.1436364714604657E-2</v>
      </c>
      <c r="J5" s="3">
        <f t="shared" si="1"/>
        <v>120.70655396971813</v>
      </c>
      <c r="K5" s="28">
        <f t="shared" si="2"/>
        <v>1.4832205747654914E-12</v>
      </c>
      <c r="L5" s="30">
        <f t="shared" si="3"/>
        <v>7.9250522184501775E-8</v>
      </c>
      <c r="M5" s="31">
        <f t="shared" si="4"/>
        <v>543.31347281903584</v>
      </c>
      <c r="N5" s="32">
        <f t="shared" si="5"/>
        <v>1.4064463105052704E-2</v>
      </c>
      <c r="O5" s="9">
        <f t="shared" si="6"/>
        <v>0.98593553689494728</v>
      </c>
    </row>
    <row r="6" spans="1:18" x14ac:dyDescent="0.25">
      <c r="A6" t="s">
        <v>0</v>
      </c>
      <c r="B6" s="3">
        <v>77.487518888870071</v>
      </c>
      <c r="C6" s="3">
        <v>24.500000000000004</v>
      </c>
      <c r="D6" s="27">
        <v>4</v>
      </c>
      <c r="E6">
        <v>300</v>
      </c>
      <c r="F6">
        <f t="shared" si="7"/>
        <v>1.2005000000000001</v>
      </c>
      <c r="G6" t="s">
        <v>9</v>
      </c>
      <c r="I6" s="9">
        <f t="shared" si="0"/>
        <v>0.22512481111129934</v>
      </c>
      <c r="J6" s="3">
        <f t="shared" si="1"/>
        <v>96.824036027806855</v>
      </c>
      <c r="K6" s="28">
        <f t="shared" si="2"/>
        <v>4.8586987823515394E-12</v>
      </c>
      <c r="L6" s="30">
        <f t="shared" si="3"/>
        <v>1.9772208878557366E-6</v>
      </c>
      <c r="M6" s="31">
        <f t="shared" si="4"/>
        <v>165.85792977321887</v>
      </c>
      <c r="N6" s="32">
        <f t="shared" si="5"/>
        <v>0.26248235331411646</v>
      </c>
      <c r="O6" s="9">
        <f t="shared" si="6"/>
        <v>0.73751764668588349</v>
      </c>
    </row>
    <row r="7" spans="1:18" x14ac:dyDescent="0.25">
      <c r="A7" t="s">
        <v>0</v>
      </c>
      <c r="B7" s="3">
        <v>47.862454995824102</v>
      </c>
      <c r="C7" s="3">
        <v>26.071428571428577</v>
      </c>
      <c r="D7" s="27">
        <v>4</v>
      </c>
      <c r="E7">
        <v>300</v>
      </c>
      <c r="F7">
        <f t="shared" si="7"/>
        <v>1.2775000000000003</v>
      </c>
      <c r="G7" t="s">
        <v>10</v>
      </c>
      <c r="I7" s="9">
        <f t="shared" si="0"/>
        <v>0.521375450041759</v>
      </c>
      <c r="J7" s="3">
        <f t="shared" si="1"/>
        <v>59.060456653875157</v>
      </c>
      <c r="K7" s="28">
        <f t="shared" si="2"/>
        <v>4.3599646296260106E-12</v>
      </c>
      <c r="L7" s="30">
        <f t="shared" si="3"/>
        <v>7.8889269527336833E-6</v>
      </c>
      <c r="M7" s="31">
        <f t="shared" si="4"/>
        <v>184.83033462168481</v>
      </c>
      <c r="N7" s="32">
        <f t="shared" si="5"/>
        <v>0.5867780294161371</v>
      </c>
      <c r="O7" s="9">
        <f t="shared" si="6"/>
        <v>0.4132219705838629</v>
      </c>
    </row>
    <row r="8" spans="1:18" x14ac:dyDescent="0.25">
      <c r="A8" t="s">
        <v>0</v>
      </c>
      <c r="B8" s="3">
        <v>67.144533122910318</v>
      </c>
      <c r="C8" s="3">
        <v>12.328571428571431</v>
      </c>
      <c r="D8" s="27">
        <v>4</v>
      </c>
      <c r="E8">
        <v>300</v>
      </c>
      <c r="F8">
        <f t="shared" si="7"/>
        <v>0.60410000000000008</v>
      </c>
      <c r="G8" t="s">
        <v>11</v>
      </c>
      <c r="I8" s="9">
        <f t="shared" si="0"/>
        <v>0.32855466877089679</v>
      </c>
      <c r="J8" s="3">
        <f t="shared" si="1"/>
        <v>83.535158432316663</v>
      </c>
      <c r="K8" s="28">
        <f t="shared" si="2"/>
        <v>2.2948357557072521E-12</v>
      </c>
      <c r="L8" s="30">
        <f t="shared" si="3"/>
        <v>1.6757423268456537E-6</v>
      </c>
      <c r="M8" s="31">
        <f t="shared" si="4"/>
        <v>351.15965028361131</v>
      </c>
      <c r="N8" s="32">
        <f t="shared" si="5"/>
        <v>0.23173465594937023</v>
      </c>
      <c r="O8" s="9">
        <f t="shared" si="6"/>
        <v>0.76826534405062974</v>
      </c>
    </row>
    <row r="9" spans="1:18" x14ac:dyDescent="0.25">
      <c r="A9" t="s">
        <v>2</v>
      </c>
      <c r="B9" s="3">
        <v>98.108808928929463</v>
      </c>
      <c r="C9" s="3">
        <v>18.271428571428576</v>
      </c>
      <c r="D9" s="27">
        <v>1</v>
      </c>
      <c r="E9">
        <v>300</v>
      </c>
      <c r="F9">
        <f t="shared" si="7"/>
        <v>0.89530000000000021</v>
      </c>
      <c r="G9" t="s">
        <v>12</v>
      </c>
      <c r="I9" s="9">
        <f t="shared" si="0"/>
        <v>1.8911910710705415E-2</v>
      </c>
      <c r="J9" s="3">
        <f t="shared" si="1"/>
        <v>29.95099120647712</v>
      </c>
      <c r="K9" s="28">
        <f t="shared" si="2"/>
        <v>2.7261901045212648E-12</v>
      </c>
      <c r="L9" s="30">
        <f t="shared" si="3"/>
        <v>9.7835711829744952E-8</v>
      </c>
      <c r="M9" s="31">
        <f t="shared" si="4"/>
        <v>295.59703855428609</v>
      </c>
      <c r="N9" s="32">
        <f t="shared" si="5"/>
        <v>1.7305667908422352E-2</v>
      </c>
      <c r="O9" s="9">
        <f t="shared" si="6"/>
        <v>0.98269433209157764</v>
      </c>
    </row>
    <row r="10" spans="1:18" x14ac:dyDescent="0.25">
      <c r="A10" t="s">
        <v>2</v>
      </c>
      <c r="B10" s="3">
        <v>98.19248275898876</v>
      </c>
      <c r="C10" s="3">
        <v>20.290476190476195</v>
      </c>
      <c r="D10" s="27">
        <v>1</v>
      </c>
      <c r="E10">
        <v>300</v>
      </c>
      <c r="F10">
        <f t="shared" si="7"/>
        <v>0.99423333333333352</v>
      </c>
      <c r="G10" t="s">
        <v>13</v>
      </c>
      <c r="I10" s="9">
        <f t="shared" si="0"/>
        <v>1.8075172410112361E-2</v>
      </c>
      <c r="J10" s="3">
        <f t="shared" si="1"/>
        <v>29.97684008566441</v>
      </c>
      <c r="K10" s="28">
        <f t="shared" si="2"/>
        <v>3.0277320939655438E-12</v>
      </c>
      <c r="L10" s="30">
        <f t="shared" si="3"/>
        <v>1.0375139530971761E-7</v>
      </c>
      <c r="M10" s="31">
        <f t="shared" si="4"/>
        <v>266.15753852152295</v>
      </c>
      <c r="N10" s="32">
        <f t="shared" si="5"/>
        <v>1.8332880017023049E-2</v>
      </c>
      <c r="O10" s="9">
        <f t="shared" si="6"/>
        <v>0.98166711998297695</v>
      </c>
      <c r="R10" s="3"/>
    </row>
    <row r="11" spans="1:18" x14ac:dyDescent="0.25">
      <c r="A11" t="s">
        <v>2</v>
      </c>
      <c r="B11" s="3">
        <v>98.339597099570412</v>
      </c>
      <c r="C11" s="3">
        <v>18.842857142857145</v>
      </c>
      <c r="D11" s="27">
        <v>1</v>
      </c>
      <c r="E11">
        <v>300</v>
      </c>
      <c r="F11">
        <f t="shared" si="7"/>
        <v>0.92330000000000012</v>
      </c>
      <c r="G11" t="s">
        <v>14</v>
      </c>
      <c r="I11" s="9">
        <f t="shared" si="0"/>
        <v>1.6604029004295917E-2</v>
      </c>
      <c r="J11" s="3">
        <f t="shared" si="1"/>
        <v>30.022288339295255</v>
      </c>
      <c r="K11" s="28">
        <f t="shared" si="2"/>
        <v>2.8121926172326762E-12</v>
      </c>
      <c r="L11" s="30">
        <f t="shared" si="3"/>
        <v>8.8374976936927086E-8</v>
      </c>
      <c r="M11" s="31">
        <f t="shared" si="4"/>
        <v>286.55708591735151</v>
      </c>
      <c r="N11" s="32">
        <f t="shared" si="5"/>
        <v>1.5658409760387106E-2</v>
      </c>
      <c r="O11" s="9">
        <f t="shared" si="6"/>
        <v>0.98434159023961287</v>
      </c>
      <c r="R11" s="3"/>
    </row>
    <row r="12" spans="1:18" x14ac:dyDescent="0.25">
      <c r="A12" t="s">
        <v>3</v>
      </c>
      <c r="B12" s="3">
        <v>92.758786414080816</v>
      </c>
      <c r="C12" s="3">
        <v>5.4714285714285724</v>
      </c>
      <c r="D12" s="27">
        <v>1</v>
      </c>
      <c r="E12">
        <v>300</v>
      </c>
      <c r="F12">
        <f t="shared" si="7"/>
        <v>0.26810000000000006</v>
      </c>
      <c r="G12" t="s">
        <v>15</v>
      </c>
      <c r="I12" s="9">
        <f t="shared" si="0"/>
        <v>7.2412135859191817E-2</v>
      </c>
      <c r="J12" s="3">
        <f t="shared" si="1"/>
        <v>28.299145721842915</v>
      </c>
      <c r="K12" s="28">
        <f t="shared" si="2"/>
        <v>8.1140176896974355E-13</v>
      </c>
      <c r="L12" s="30">
        <f t="shared" si="3"/>
        <v>1.1864639110828888E-7</v>
      </c>
      <c r="M12" s="31">
        <f t="shared" si="4"/>
        <v>993.16239161728424</v>
      </c>
      <c r="N12" s="32">
        <f t="shared" si="5"/>
        <v>2.0909793522249802E-2</v>
      </c>
      <c r="O12" s="9">
        <f t="shared" si="6"/>
        <v>0.97909020647775025</v>
      </c>
      <c r="R12" s="3"/>
    </row>
    <row r="13" spans="1:18" x14ac:dyDescent="0.25">
      <c r="A13" t="s">
        <v>3</v>
      </c>
      <c r="B13" s="3">
        <v>91.832248295672841</v>
      </c>
      <c r="C13" s="3">
        <v>6.3809523809523823</v>
      </c>
      <c r="D13" s="27">
        <v>1</v>
      </c>
      <c r="E13">
        <v>300</v>
      </c>
      <c r="F13">
        <f t="shared" si="7"/>
        <v>0.31266666666666676</v>
      </c>
      <c r="G13" t="s">
        <v>16</v>
      </c>
      <c r="I13" s="9">
        <f t="shared" si="0"/>
        <v>8.1677517043271641E-2</v>
      </c>
      <c r="J13" s="3">
        <f t="shared" si="1"/>
        <v>28.013253788986315</v>
      </c>
      <c r="K13" s="28">
        <f t="shared" si="2"/>
        <v>9.4528764620107323E-13</v>
      </c>
      <c r="L13" s="30">
        <f t="shared" si="3"/>
        <v>1.5764867054396581E-7</v>
      </c>
      <c r="M13" s="31">
        <f t="shared" si="4"/>
        <v>852.49577170616226</v>
      </c>
      <c r="N13" s="32">
        <f t="shared" si="5"/>
        <v>2.7593739748315384E-2</v>
      </c>
      <c r="O13" s="9">
        <f t="shared" si="6"/>
        <v>0.97240626025168464</v>
      </c>
      <c r="R13" s="3"/>
    </row>
    <row r="14" spans="1:18" x14ac:dyDescent="0.25">
      <c r="A14" t="s">
        <v>3</v>
      </c>
      <c r="B14" s="3">
        <v>95.116799504003666</v>
      </c>
      <c r="C14" s="3">
        <v>5.6952380952380963</v>
      </c>
      <c r="D14" s="27">
        <v>1</v>
      </c>
      <c r="E14">
        <v>300</v>
      </c>
      <c r="F14">
        <f t="shared" si="7"/>
        <v>0.27906666666666674</v>
      </c>
      <c r="G14" t="s">
        <v>17</v>
      </c>
      <c r="I14" s="9">
        <f t="shared" si="0"/>
        <v>4.8832004959963315E-2</v>
      </c>
      <c r="J14" s="3">
        <f t="shared" si="1"/>
        <v>29.026973812928986</v>
      </c>
      <c r="K14" s="28">
        <f t="shared" si="2"/>
        <v>8.4686082560911771E-13</v>
      </c>
      <c r="L14" s="30">
        <f t="shared" si="3"/>
        <v>8.1218826737545427E-8</v>
      </c>
      <c r="M14" s="31">
        <f t="shared" si="4"/>
        <v>951.5775167104498</v>
      </c>
      <c r="N14" s="32">
        <f>L14/($L$1/1000/3600+L14)</f>
        <v>1.4408741813878441E-2</v>
      </c>
      <c r="O14" s="9">
        <f t="shared" si="6"/>
        <v>0.98559125818612159</v>
      </c>
      <c r="R14" s="3"/>
    </row>
    <row r="15" spans="1:18" x14ac:dyDescent="0.25">
      <c r="A15" t="s">
        <v>1</v>
      </c>
      <c r="B15" s="3">
        <v>96.8</v>
      </c>
      <c r="C15" s="3">
        <v>15.9</v>
      </c>
      <c r="D15" s="27">
        <v>1</v>
      </c>
      <c r="E15">
        <v>300</v>
      </c>
      <c r="F15">
        <f t="shared" si="7"/>
        <v>0.77910000000000001</v>
      </c>
      <c r="I15" s="9">
        <f t="shared" si="0"/>
        <v>3.2000000000000028E-2</v>
      </c>
      <c r="J15" s="3">
        <f t="shared" si="1"/>
        <v>29.546725178865799</v>
      </c>
      <c r="K15" s="28">
        <f t="shared" si="2"/>
        <v>2.3688147572349641E-12</v>
      </c>
      <c r="L15" s="30">
        <f t="shared" si="3"/>
        <v>1.4600550964187342E-7</v>
      </c>
      <c r="M15" s="31">
        <f t="shared" si="4"/>
        <v>340.19279851714998</v>
      </c>
      <c r="N15" s="32">
        <f>L15/($L$1/1000/3600+L15)</f>
        <v>2.5607988403929804E-2</v>
      </c>
      <c r="O15" s="9">
        <f t="shared" si="6"/>
        <v>0.97439201159607025</v>
      </c>
      <c r="R15" s="3"/>
    </row>
    <row r="16" spans="1:18" x14ac:dyDescent="0.25">
      <c r="A16" t="s">
        <v>0</v>
      </c>
      <c r="B16" s="3">
        <v>65</v>
      </c>
      <c r="C16" s="3">
        <v>12.5</v>
      </c>
      <c r="D16" s="27">
        <v>1</v>
      </c>
      <c r="E16">
        <v>150</v>
      </c>
      <c r="F16">
        <f t="shared" si="7"/>
        <v>1.2250000000000001</v>
      </c>
      <c r="I16" s="9">
        <f t="shared" si="0"/>
        <v>0.35</v>
      </c>
      <c r="J16" s="3">
        <f t="shared" si="1"/>
        <v>19.757047431691689</v>
      </c>
      <c r="K16" s="28">
        <f t="shared" si="2"/>
        <v>3.8670697029165591E-12</v>
      </c>
      <c r="L16" s="30">
        <f t="shared" si="3"/>
        <v>1.8696581196581197E-6</v>
      </c>
      <c r="M16" s="31">
        <f t="shared" si="4"/>
        <v>208.38872410929329</v>
      </c>
      <c r="N16" s="32">
        <f>L16/($L$1/1000/3600+L16)</f>
        <v>0.25179856115107913</v>
      </c>
      <c r="O16" s="9">
        <f t="shared" si="6"/>
        <v>0.74820143884892087</v>
      </c>
      <c r="R16" s="3"/>
    </row>
    <row r="17" spans="1:18" x14ac:dyDescent="0.25">
      <c r="B17" s="3"/>
      <c r="C17" s="3"/>
      <c r="D17" s="27"/>
      <c r="I17" s="9"/>
      <c r="J17" s="3"/>
      <c r="K17" s="28"/>
      <c r="L17" s="30"/>
      <c r="M17" s="31"/>
      <c r="N17" s="32"/>
      <c r="O17" s="9"/>
      <c r="R17" s="3"/>
    </row>
    <row r="18" spans="1:18" x14ac:dyDescent="0.25">
      <c r="B18" s="3"/>
      <c r="C18" s="3"/>
      <c r="D18" s="27"/>
      <c r="I18" s="9"/>
      <c r="J18" s="3"/>
      <c r="K18" s="28"/>
      <c r="L18" s="30"/>
      <c r="M18" s="31"/>
      <c r="N18" s="32"/>
      <c r="O18" s="9"/>
      <c r="R18" s="3"/>
    </row>
    <row r="19" spans="1:18" x14ac:dyDescent="0.25">
      <c r="B19" s="7"/>
      <c r="C19" s="8"/>
      <c r="M19" s="6"/>
      <c r="R19" s="3"/>
    </row>
    <row r="20" spans="1:18" ht="18" x14ac:dyDescent="0.25">
      <c r="B20" s="7"/>
      <c r="C20" s="15" t="s">
        <v>101</v>
      </c>
      <c r="D20" t="s">
        <v>103</v>
      </c>
      <c r="E20" s="15" t="s">
        <v>102</v>
      </c>
      <c r="F20" t="s">
        <v>103</v>
      </c>
      <c r="G20" t="s">
        <v>135</v>
      </c>
      <c r="H20" t="s">
        <v>137</v>
      </c>
      <c r="I20" t="s">
        <v>103</v>
      </c>
      <c r="J20" t="s">
        <v>136</v>
      </c>
      <c r="K20" t="s">
        <v>103</v>
      </c>
      <c r="L20" s="6"/>
      <c r="R20" s="3"/>
    </row>
    <row r="21" spans="1:18" x14ac:dyDescent="0.25">
      <c r="A21" t="s">
        <v>19</v>
      </c>
      <c r="C21">
        <f>AVERAGE(F15)</f>
        <v>0.77910000000000001</v>
      </c>
      <c r="D21">
        <f>STDEV(F3:F5)/2</f>
        <v>2.4240383736725567E-2</v>
      </c>
      <c r="E21" s="3">
        <f>AVERAGE(B15)</f>
        <v>96.8</v>
      </c>
      <c r="F21">
        <f>STDEV(B3:B5)/2</f>
        <v>0.79309051984325429</v>
      </c>
      <c r="G21" s="9">
        <f>AVERAGE(N15)</f>
        <v>2.5607988403929804E-2</v>
      </c>
      <c r="H21" s="34">
        <f>(1-G21)</f>
        <v>0.97439201159607025</v>
      </c>
      <c r="I21">
        <f>STDEV(O3:O5)/2</f>
        <v>2.1911320142289849E-3</v>
      </c>
      <c r="J21" s="33">
        <f>AVERAGE(M15)</f>
        <v>340.19279851714998</v>
      </c>
      <c r="K21">
        <f>STDEV(M3:M5)/2</f>
        <v>46.054739136797316</v>
      </c>
      <c r="L21" s="5"/>
      <c r="R21" s="3"/>
    </row>
    <row r="22" spans="1:18" x14ac:dyDescent="0.25">
      <c r="A22" t="s">
        <v>20</v>
      </c>
      <c r="C22">
        <f>AVERAGE(F16)</f>
        <v>1.2250000000000001</v>
      </c>
      <c r="D22">
        <f>STDEV(F6:F8)/2</f>
        <v>0.18428799020373884</v>
      </c>
      <c r="E22" s="3">
        <f>AVERAGE(B16)</f>
        <v>65</v>
      </c>
      <c r="F22">
        <f>STDEV(B6:B8)/2</f>
        <v>7.5178130189818306</v>
      </c>
      <c r="G22" s="9">
        <f>AVERAGE(N16)</f>
        <v>0.25179856115107913</v>
      </c>
      <c r="H22" s="34">
        <f t="shared" ref="H22:H24" si="8">(1-G22)</f>
        <v>0.74820143884892087</v>
      </c>
      <c r="I22">
        <f>STDEV(O6:O8)/2</f>
        <v>9.8354991288860244E-2</v>
      </c>
      <c r="J22" s="33">
        <f>AVERAGE(M16)</f>
        <v>208.38872410929329</v>
      </c>
      <c r="K22">
        <f>STDEV(M6:M8)/2</f>
        <v>50.974716370966028</v>
      </c>
      <c r="L22" s="5"/>
      <c r="R22" s="3"/>
    </row>
    <row r="23" spans="1:18" x14ac:dyDescent="0.25">
      <c r="A23" t="s">
        <v>21</v>
      </c>
      <c r="C23">
        <f>AVERAGE(F9:F11)</f>
        <v>0.93761111111111128</v>
      </c>
      <c r="D23">
        <f>STDEV(F9:F11)/2</f>
        <v>2.5497828520469334E-2</v>
      </c>
      <c r="E23" s="3">
        <f>AVERAGE(B9:B11)</f>
        <v>98.213629595829545</v>
      </c>
      <c r="F23">
        <f>STDEV(B9:B11)/2</f>
        <v>5.8419145958810079E-2</v>
      </c>
      <c r="G23" s="9">
        <f>AVERAGE(N9:N11)</f>
        <v>1.7098985895277502E-2</v>
      </c>
      <c r="H23" s="34">
        <f t="shared" si="8"/>
        <v>0.98290101410472253</v>
      </c>
      <c r="I23">
        <f>STDEV(O9:O11)/2</f>
        <v>6.7458058809266E-4</v>
      </c>
      <c r="J23" s="33">
        <f>AVERAGE(M9:M11)</f>
        <v>282.77055433105352</v>
      </c>
      <c r="K23">
        <f>STDEV(M9:M11)/2</f>
        <v>7.5402985125804118</v>
      </c>
      <c r="L23" s="5"/>
      <c r="R23" s="3"/>
    </row>
    <row r="24" spans="1:18" x14ac:dyDescent="0.25">
      <c r="A24" t="s">
        <v>22</v>
      </c>
      <c r="C24">
        <f>AVERAGE(F12:F14)</f>
        <v>0.28661111111111121</v>
      </c>
      <c r="D24">
        <f>STDEV(F12:F14)/2</f>
        <v>1.1610727000557789E-2</v>
      </c>
      <c r="E24" s="3">
        <f>AVERAGE(B12:B14)</f>
        <v>93.235944737919112</v>
      </c>
      <c r="F24">
        <f>STDEV(B12:B14)/2</f>
        <v>0.84673331243417427</v>
      </c>
      <c r="G24" s="9">
        <f>AVERAGE(N12:N14)</f>
        <v>2.0970758361481209E-2</v>
      </c>
      <c r="H24" s="34">
        <f t="shared" si="8"/>
        <v>0.97902924163851879</v>
      </c>
      <c r="I24">
        <f>STDEV(O12:O14)/2</f>
        <v>3.2963551904525374E-3</v>
      </c>
      <c r="J24" s="33">
        <f>AVERAGE(M12:M14)</f>
        <v>932.41189334463206</v>
      </c>
      <c r="K24">
        <f>STDEV(M12:M14)/2</f>
        <v>36.132621440172656</v>
      </c>
      <c r="L24" s="5"/>
      <c r="R24" s="3"/>
    </row>
    <row r="25" spans="1:18" x14ac:dyDescent="0.25">
      <c r="L25" s="5"/>
      <c r="R25" s="3"/>
    </row>
    <row r="26" spans="1:18" x14ac:dyDescent="0.25">
      <c r="R26" s="3"/>
    </row>
    <row r="27" spans="1:18" x14ac:dyDescent="0.25">
      <c r="R27" s="3"/>
    </row>
    <row r="28" spans="1:18" x14ac:dyDescent="0.25">
      <c r="R28" s="3"/>
    </row>
    <row r="29" spans="1:18" x14ac:dyDescent="0.25">
      <c r="R29" s="3"/>
    </row>
    <row r="30" spans="1:18" x14ac:dyDescent="0.25">
      <c r="R30" s="3"/>
    </row>
    <row r="31" spans="1:18" x14ac:dyDescent="0.25">
      <c r="R31" s="3"/>
    </row>
  </sheetData>
  <mergeCells count="1">
    <mergeCell ref="A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opLeftCell="K1" zoomScaleNormal="100" workbookViewId="0">
      <selection activeCell="W38" sqref="W38"/>
    </sheetView>
  </sheetViews>
  <sheetFormatPr defaultRowHeight="15" x14ac:dyDescent="0.25"/>
  <cols>
    <col min="1" max="1" width="23.28515625" customWidth="1"/>
    <col min="2" max="2" width="27.28515625" customWidth="1"/>
    <col min="3" max="3" width="26.85546875" customWidth="1"/>
    <col min="4" max="4" width="30.7109375" customWidth="1"/>
    <col min="5" max="5" width="26" customWidth="1"/>
    <col min="6" max="6" width="29.85546875" customWidth="1"/>
    <col min="7" max="7" width="20.85546875" customWidth="1"/>
    <col min="8" max="8" width="20.7109375" customWidth="1"/>
    <col min="12" max="12" width="12.7109375" bestFit="1" customWidth="1"/>
    <col min="13" max="16" width="20.140625" customWidth="1"/>
    <col min="19" max="20" width="12" bestFit="1" customWidth="1"/>
    <col min="23" max="23" width="13.28515625" customWidth="1"/>
  </cols>
  <sheetData>
    <row r="1" spans="1:25" ht="15.75" x14ac:dyDescent="0.25">
      <c r="A1" s="51" t="s">
        <v>127</v>
      </c>
      <c r="B1" s="51"/>
      <c r="C1" s="51"/>
      <c r="D1" s="51"/>
      <c r="E1" s="51"/>
      <c r="F1" s="51"/>
      <c r="G1" s="52"/>
      <c r="H1" s="52"/>
    </row>
    <row r="2" spans="1:25" x14ac:dyDescent="0.25">
      <c r="A2" s="10" t="s">
        <v>4</v>
      </c>
    </row>
    <row r="3" spans="1:25" x14ac:dyDescent="0.25">
      <c r="A3" t="s">
        <v>25</v>
      </c>
    </row>
    <row r="4" spans="1:25" x14ac:dyDescent="0.25">
      <c r="A4" t="s">
        <v>104</v>
      </c>
      <c r="S4">
        <v>20</v>
      </c>
      <c r="T4" t="s">
        <v>133</v>
      </c>
    </row>
    <row r="5" spans="1:25" ht="18.75" x14ac:dyDescent="0.3">
      <c r="F5" s="15" t="s">
        <v>101</v>
      </c>
      <c r="G5" s="15" t="s">
        <v>100</v>
      </c>
      <c r="H5" s="16" t="s">
        <v>103</v>
      </c>
      <c r="I5" s="16" t="s">
        <v>105</v>
      </c>
      <c r="J5" s="16" t="s">
        <v>107</v>
      </c>
      <c r="K5" s="16" t="s">
        <v>103</v>
      </c>
      <c r="N5" s="15" t="s">
        <v>106</v>
      </c>
      <c r="O5" s="16" t="s">
        <v>105</v>
      </c>
      <c r="P5" s="16" t="s">
        <v>132</v>
      </c>
      <c r="Q5" t="s">
        <v>128</v>
      </c>
      <c r="R5" s="26" t="s">
        <v>131</v>
      </c>
      <c r="S5" s="26" t="s">
        <v>129</v>
      </c>
      <c r="T5" s="26" t="s">
        <v>130</v>
      </c>
      <c r="U5" s="29" t="s">
        <v>134</v>
      </c>
      <c r="V5" s="29" t="s">
        <v>128</v>
      </c>
      <c r="W5" s="29" t="s">
        <v>105</v>
      </c>
      <c r="X5" s="29"/>
    </row>
    <row r="6" spans="1:25" x14ac:dyDescent="0.25">
      <c r="A6" t="s">
        <v>4</v>
      </c>
      <c r="F6">
        <f>57.4/(150/14.7)</f>
        <v>5.6252000000000004</v>
      </c>
      <c r="I6">
        <v>99.8</v>
      </c>
      <c r="M6" t="s">
        <v>138</v>
      </c>
      <c r="N6">
        <v>18.399999999999999</v>
      </c>
      <c r="O6">
        <v>98.4</v>
      </c>
      <c r="P6">
        <v>150</v>
      </c>
      <c r="Q6" s="9">
        <f>1-O6/100</f>
        <v>1.5999999999999903E-2</v>
      </c>
      <c r="R6" s="3">
        <f>((1*O6/100)/229.2/(100-1*O6/100)*1000)*694.2235-0.0596</f>
        <v>30.040949088898635</v>
      </c>
      <c r="S6" s="28">
        <f>(N6/1000/3600)/(P6*6894-R6*6894)</f>
        <v>6.1803208518822706E-12</v>
      </c>
      <c r="T6" s="30">
        <f>(N6/1000/3600)*Q6/(1-Q6)</f>
        <v>8.3107497741643567E-8</v>
      </c>
      <c r="U6" s="31">
        <f>(($S$4/1000/3600))/S6/6894</f>
        <v>130.39027272945802</v>
      </c>
      <c r="V6" s="32">
        <f>T6/($S$4/1000/3600+T6)</f>
        <v>1.473886574815755E-2</v>
      </c>
      <c r="W6" s="9">
        <f>1-V6</f>
        <v>0.98526113425184247</v>
      </c>
    </row>
    <row r="7" spans="1:25" x14ac:dyDescent="0.25">
      <c r="A7" t="s">
        <v>5</v>
      </c>
      <c r="F7">
        <f>58.3/(150/14.7)</f>
        <v>5.7134</v>
      </c>
      <c r="I7">
        <v>99.1</v>
      </c>
      <c r="M7" t="s">
        <v>139</v>
      </c>
      <c r="N7">
        <v>18.399999999999999</v>
      </c>
      <c r="O7">
        <v>98.4</v>
      </c>
      <c r="P7">
        <v>150</v>
      </c>
      <c r="Q7" s="9">
        <f t="shared" ref="Q7:Q8" si="0">1-O7/100</f>
        <v>1.5999999999999903E-2</v>
      </c>
      <c r="R7" s="3">
        <f t="shared" ref="R7:R8" si="1">((1*O7/100)/229.2/(100-1*O7/100)*1000)*694.2235-0.0596</f>
        <v>30.040949088898635</v>
      </c>
      <c r="S7" s="28">
        <f t="shared" ref="S7:S8" si="2">(N7/1000/3600)/(P7*6894-R7*6894)</f>
        <v>6.1803208518822706E-12</v>
      </c>
      <c r="T7" s="30">
        <f>(N7/1000/3600)*Q7/(1-Q7)</f>
        <v>8.3107497741643567E-8</v>
      </c>
      <c r="U7" s="31">
        <f>(($S$4/1000/3600))/S7/6894</f>
        <v>130.39027272945802</v>
      </c>
      <c r="V7" s="32">
        <f>T7/($S$4/1000/3600+T7)</f>
        <v>1.473886574815755E-2</v>
      </c>
      <c r="W7" s="9">
        <f t="shared" ref="W7:W8" si="3">1-V7</f>
        <v>0.98526113425184247</v>
      </c>
    </row>
    <row r="8" spans="1:25" x14ac:dyDescent="0.25">
      <c r="A8" t="s">
        <v>108</v>
      </c>
      <c r="F8">
        <f>56/(150/14.7)</f>
        <v>5.4880000000000004</v>
      </c>
      <c r="G8">
        <f>AVERAGE(F6:F8)</f>
        <v>5.6088666666666667</v>
      </c>
      <c r="H8">
        <f>STDEVA(F6:F8)/2</f>
        <v>5.6792106258998026E-2</v>
      </c>
      <c r="I8">
        <v>99.2</v>
      </c>
      <c r="J8">
        <f>AVERAGE(I6:I8)</f>
        <v>99.36666666666666</v>
      </c>
      <c r="K8">
        <f>STDEVA(I6:I8)/2</f>
        <v>0.189296944860009</v>
      </c>
      <c r="M8" t="s">
        <v>140</v>
      </c>
      <c r="N8">
        <v>18.399999999999999</v>
      </c>
      <c r="O8">
        <v>98.4</v>
      </c>
      <c r="P8">
        <v>150</v>
      </c>
      <c r="Q8" s="9">
        <f t="shared" si="0"/>
        <v>1.5999999999999903E-2</v>
      </c>
      <c r="R8" s="3">
        <f t="shared" si="1"/>
        <v>30.040949088898635</v>
      </c>
      <c r="S8" s="28">
        <f t="shared" si="2"/>
        <v>6.1803208518822706E-12</v>
      </c>
      <c r="T8" s="30">
        <f>(N8/1000/3600)*Q8/(1-Q8)</f>
        <v>8.3107497741643567E-8</v>
      </c>
      <c r="U8" s="31">
        <f>(($S$4/1000/3600))/S8/6894</f>
        <v>130.39027272945802</v>
      </c>
      <c r="V8" s="32">
        <f>T8/($S$4/1000/3600+T8)</f>
        <v>1.473886574815755E-2</v>
      </c>
      <c r="W8" s="9">
        <f t="shared" si="3"/>
        <v>0.98526113425184247</v>
      </c>
    </row>
    <row r="9" spans="1:25" ht="15.75" x14ac:dyDescent="0.25">
      <c r="A9" t="s">
        <v>18</v>
      </c>
      <c r="F9">
        <f>E14</f>
        <v>11.3484</v>
      </c>
      <c r="G9">
        <f>F9</f>
        <v>11.3484</v>
      </c>
      <c r="H9">
        <f>F14</f>
        <v>0</v>
      </c>
      <c r="I9">
        <f>G14</f>
        <v>0</v>
      </c>
      <c r="J9">
        <f>I9</f>
        <v>0</v>
      </c>
      <c r="K9">
        <f>H14</f>
        <v>0</v>
      </c>
      <c r="N9" s="15"/>
      <c r="O9" s="16"/>
    </row>
    <row r="10" spans="1:25" x14ac:dyDescent="0.25">
      <c r="M10" t="s">
        <v>141</v>
      </c>
      <c r="N10">
        <v>19.3</v>
      </c>
      <c r="O10" s="3">
        <v>97.655209948036998</v>
      </c>
      <c r="P10">
        <v>30</v>
      </c>
      <c r="Q10" s="9">
        <f>1-O10/100</f>
        <v>2.3447900519629972E-2</v>
      </c>
      <c r="R10" s="3">
        <f>((0.1*O10/100)/229.2/(100-0.1*O10/100)*1000)*694.2235-0.0596</f>
        <v>2.9011683796278582</v>
      </c>
      <c r="S10" s="28">
        <f>(N10/1000/3600)/(P10*6894-R10*6894)</f>
        <v>2.8696766416959987E-11</v>
      </c>
      <c r="T10" s="30">
        <f>(N10/1000/3600)*Q10/(1-Q10)</f>
        <v>1.2872513414789205E-7</v>
      </c>
      <c r="U10" s="31">
        <f>(($S$4/1000/3600))/S10/6894</f>
        <v>28.081690798313097</v>
      </c>
      <c r="V10" s="32">
        <f>T10/($S$4/1000/3600+T10)</f>
        <v>2.2645808885030223E-2</v>
      </c>
      <c r="W10" s="9">
        <f>1-V10</f>
        <v>0.97735419111496979</v>
      </c>
    </row>
    <row r="11" spans="1:25" x14ac:dyDescent="0.25">
      <c r="A11" s="10" t="s">
        <v>18</v>
      </c>
      <c r="M11" t="s">
        <v>142</v>
      </c>
      <c r="N11">
        <v>19.3</v>
      </c>
      <c r="O11" s="3">
        <v>97.714356204987752</v>
      </c>
      <c r="P11">
        <v>30</v>
      </c>
      <c r="Q11" s="9">
        <f t="shared" ref="Q11:Q12" si="4">1-O11/100</f>
        <v>2.2856437950122488E-2</v>
      </c>
      <c r="R11" s="3">
        <f t="shared" ref="R11:R12" si="5">((0.1*O11/100)/229.2/(100-0.1*O11/100)*1000)*694.2235-0.0596</f>
        <v>2.902963364765875</v>
      </c>
      <c r="S11" s="28">
        <f t="shared" ref="S11:S12" si="6">(N11/1000/3600)/(P11*6894-R11*6894)</f>
        <v>2.8698667372770062E-11</v>
      </c>
      <c r="T11" s="30">
        <f t="shared" ref="T11:T12" si="7">(N11/1000/3600)*Q11/(1-Q11)</f>
        <v>1.2540214991312464E-7</v>
      </c>
      <c r="U11" s="31">
        <f>(($S$4/1000/3600))/S11/6894</f>
        <v>28.079830710087172</v>
      </c>
      <c r="V11" s="32">
        <f>T11/($S$4/1000/3600+T11)</f>
        <v>2.2074121374360579E-2</v>
      </c>
      <c r="W11" s="9">
        <f t="shared" ref="W11:W12" si="8">1-V11</f>
        <v>0.9779258786256394</v>
      </c>
    </row>
    <row r="12" spans="1:25" x14ac:dyDescent="0.25">
      <c r="A12" t="s">
        <v>24</v>
      </c>
      <c r="M12" t="s">
        <v>143</v>
      </c>
      <c r="N12">
        <v>19.3</v>
      </c>
      <c r="O12" s="3">
        <v>97.745282352412971</v>
      </c>
      <c r="P12">
        <v>30</v>
      </c>
      <c r="Q12" s="9">
        <f t="shared" si="4"/>
        <v>2.2547176475870234E-2</v>
      </c>
      <c r="R12" s="3">
        <f t="shared" si="5"/>
        <v>2.9039019199326122</v>
      </c>
      <c r="S12" s="28">
        <f t="shared" si="6"/>
        <v>2.8699661437762802E-11</v>
      </c>
      <c r="T12" s="30">
        <f t="shared" si="7"/>
        <v>1.2366624293247742E-7</v>
      </c>
      <c r="U12" s="31">
        <f>(($S$4/1000/3600))/S12/6894</f>
        <v>28.078858114059468</v>
      </c>
      <c r="V12" s="32">
        <f>T12/($S$4/1000/3600+T12)</f>
        <v>2.1775209231201499E-2</v>
      </c>
      <c r="W12" s="9">
        <f t="shared" si="8"/>
        <v>0.97822479076879854</v>
      </c>
    </row>
    <row r="13" spans="1:25" ht="18" x14ac:dyDescent="0.25">
      <c r="A13" s="16" t="s">
        <v>23</v>
      </c>
      <c r="B13" s="15" t="s">
        <v>106</v>
      </c>
      <c r="C13" s="16" t="s">
        <v>105</v>
      </c>
      <c r="D13" s="15" t="s">
        <v>101</v>
      </c>
      <c r="E13" s="15" t="s">
        <v>100</v>
      </c>
      <c r="F13" s="15"/>
      <c r="G13" s="16"/>
      <c r="H13" s="15"/>
    </row>
    <row r="14" spans="1:25" x14ac:dyDescent="0.25">
      <c r="A14">
        <v>30</v>
      </c>
      <c r="B14">
        <v>19.3</v>
      </c>
      <c r="C14">
        <v>97.655209948036998</v>
      </c>
      <c r="D14">
        <f>B14/(25/14.7)</f>
        <v>11.3484</v>
      </c>
      <c r="E14">
        <f>AVERAGE(D14:D16)</f>
        <v>11.3484</v>
      </c>
    </row>
    <row r="15" spans="1:25" ht="17.25" x14ac:dyDescent="0.3">
      <c r="A15">
        <v>30</v>
      </c>
      <c r="B15">
        <v>19.3</v>
      </c>
      <c r="C15">
        <v>97.714356204987752</v>
      </c>
      <c r="D15">
        <f>B15/(25/14.7)</f>
        <v>11.3484</v>
      </c>
      <c r="Q15" t="s">
        <v>128</v>
      </c>
      <c r="R15" s="26" t="s">
        <v>131</v>
      </c>
      <c r="S15" s="26" t="s">
        <v>129</v>
      </c>
      <c r="T15" s="26" t="s">
        <v>130</v>
      </c>
      <c r="U15" s="29" t="s">
        <v>134</v>
      </c>
      <c r="V15" s="29" t="s">
        <v>103</v>
      </c>
      <c r="W15" s="29" t="s">
        <v>128</v>
      </c>
      <c r="X15" s="29" t="s">
        <v>105</v>
      </c>
      <c r="Y15" s="29" t="s">
        <v>103</v>
      </c>
    </row>
    <row r="16" spans="1:25" x14ac:dyDescent="0.25">
      <c r="A16">
        <v>30</v>
      </c>
      <c r="B16">
        <v>19.3</v>
      </c>
      <c r="C16">
        <v>97.745282352412971</v>
      </c>
      <c r="D16">
        <f>B16/(25/14.7)</f>
        <v>11.3484</v>
      </c>
      <c r="P16" t="s">
        <v>19</v>
      </c>
      <c r="Q16" s="9">
        <f>AVERAGE(Q6:Q8)</f>
        <v>1.5999999999999903E-2</v>
      </c>
      <c r="R16" s="24">
        <f t="shared" ref="R16:S16" si="9">AVERAGE(R6:R8)</f>
        <v>30.040949088898639</v>
      </c>
      <c r="S16" s="27">
        <f t="shared" si="9"/>
        <v>6.1803208518822706E-12</v>
      </c>
      <c r="T16" s="27">
        <f>AVERAGE(T6:T8)</f>
        <v>8.3107497741643567E-8</v>
      </c>
      <c r="U16" s="24">
        <f>AVERAGE(U6:U8)</f>
        <v>130.39027272945802</v>
      </c>
      <c r="V16" s="24">
        <f>STDEV(U6:U8)/2</f>
        <v>0</v>
      </c>
      <c r="W16" s="9">
        <f>AVERAGE(V6:V8)</f>
        <v>1.4738865748157548E-2</v>
      </c>
      <c r="X16" s="9">
        <f>AVERAGE(W6:W8)</f>
        <v>0.98526113425184247</v>
      </c>
      <c r="Y16" s="9">
        <f>STDEV(W6:W8)/2</f>
        <v>0</v>
      </c>
    </row>
    <row r="17" spans="16:25" x14ac:dyDescent="0.25">
      <c r="P17" t="s">
        <v>92</v>
      </c>
      <c r="Q17" s="9">
        <f>1-I7/100</f>
        <v>9.000000000000008E-3</v>
      </c>
      <c r="R17" s="3">
        <f>((0.1*I7/100)/229.2/(100-0.1*I7/100)*1000)*694.2235-0.0596</f>
        <v>2.9450158312695911</v>
      </c>
      <c r="S17" s="28">
        <f>(AVERAGE(B14:B16)/1000/3600)/(30*6894-R17*6894)</f>
        <v>2.8743274671035999E-11</v>
      </c>
      <c r="T17" s="30">
        <f>(AVERAGE(B14:B16)/1000/3600)*Q17/(1-Q17)</f>
        <v>4.8688193743693284E-8</v>
      </c>
      <c r="U17" s="24">
        <f>AVERAGE(U10:U12)</f>
        <v>28.080126540819915</v>
      </c>
      <c r="V17" s="24">
        <f>STDEV(U10:U12)/2</f>
        <v>7.1966344339129931E-4</v>
      </c>
      <c r="W17" s="9">
        <f>AVERAGE(V10:V12)</f>
        <v>2.2165046496864099E-2</v>
      </c>
      <c r="X17" s="9">
        <f>1-W17</f>
        <v>0.97783495350313587</v>
      </c>
      <c r="Y17" s="9">
        <f>STDEV(W10:W12)/2</f>
        <v>2.2118231887878541E-4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workbookViewId="0">
      <selection activeCell="C39" sqref="C39"/>
    </sheetView>
  </sheetViews>
  <sheetFormatPr defaultRowHeight="15" x14ac:dyDescent="0.25"/>
  <cols>
    <col min="1" max="1" width="27.7109375" customWidth="1"/>
    <col min="2" max="2" width="19" customWidth="1"/>
    <col min="3" max="3" width="23.28515625" customWidth="1"/>
    <col min="4" max="4" width="16.7109375" customWidth="1"/>
    <col min="5" max="5" width="12.42578125" customWidth="1"/>
    <col min="8" max="8" width="21" customWidth="1"/>
  </cols>
  <sheetData>
    <row r="2" spans="1:4" ht="15.75" x14ac:dyDescent="0.25">
      <c r="A2" s="53" t="s">
        <v>123</v>
      </c>
      <c r="B2" s="53"/>
      <c r="C2" s="53"/>
      <c r="D2" s="53"/>
    </row>
    <row r="3" spans="1:4" ht="15.75" thickBot="1" x14ac:dyDescent="0.3"/>
    <row r="4" spans="1:4" ht="16.5" thickBot="1" x14ac:dyDescent="0.3">
      <c r="A4" s="11" t="s">
        <v>79</v>
      </c>
      <c r="B4" s="12" t="s">
        <v>80</v>
      </c>
      <c r="C4" s="12" t="s">
        <v>81</v>
      </c>
      <c r="D4" s="12" t="s">
        <v>82</v>
      </c>
    </row>
    <row r="5" spans="1:4" ht="16.5" thickBot="1" x14ac:dyDescent="0.3">
      <c r="A5" s="13" t="s">
        <v>21</v>
      </c>
      <c r="B5" s="14" t="s">
        <v>83</v>
      </c>
      <c r="C5" s="14" t="s">
        <v>84</v>
      </c>
      <c r="D5" s="14" t="s">
        <v>85</v>
      </c>
    </row>
    <row r="6" spans="1:4" ht="16.5" thickBot="1" x14ac:dyDescent="0.3">
      <c r="A6" s="13" t="s">
        <v>22</v>
      </c>
      <c r="B6" s="14" t="s">
        <v>83</v>
      </c>
      <c r="C6" s="14" t="s">
        <v>84</v>
      </c>
      <c r="D6" s="14" t="s">
        <v>85</v>
      </c>
    </row>
    <row r="7" spans="1:4" ht="16.5" thickBot="1" x14ac:dyDescent="0.3">
      <c r="A7" s="13" t="s">
        <v>87</v>
      </c>
      <c r="B7" s="14" t="s">
        <v>83</v>
      </c>
      <c r="C7" s="14" t="s">
        <v>84</v>
      </c>
      <c r="D7" s="14" t="s">
        <v>85</v>
      </c>
    </row>
    <row r="8" spans="1:4" ht="16.5" thickBot="1" x14ac:dyDescent="0.3">
      <c r="A8" s="13" t="s">
        <v>19</v>
      </c>
      <c r="B8" s="14" t="s">
        <v>89</v>
      </c>
      <c r="C8" s="14" t="s">
        <v>84</v>
      </c>
      <c r="D8" s="14" t="s">
        <v>90</v>
      </c>
    </row>
    <row r="9" spans="1:4" ht="16.5" thickBot="1" x14ac:dyDescent="0.3">
      <c r="A9" s="13" t="s">
        <v>20</v>
      </c>
      <c r="B9" s="14" t="s">
        <v>89</v>
      </c>
      <c r="C9" s="14" t="s">
        <v>84</v>
      </c>
      <c r="D9" s="14" t="s">
        <v>85</v>
      </c>
    </row>
    <row r="10" spans="1:4" ht="16.5" thickBot="1" x14ac:dyDescent="0.3">
      <c r="A10" s="13" t="s">
        <v>92</v>
      </c>
      <c r="B10" s="14" t="s">
        <v>83</v>
      </c>
      <c r="C10" s="14" t="s">
        <v>84</v>
      </c>
      <c r="D10" s="14" t="s">
        <v>93</v>
      </c>
    </row>
    <row r="11" spans="1:4" ht="16.5" thickBot="1" x14ac:dyDescent="0.3">
      <c r="A11" s="13" t="s">
        <v>86</v>
      </c>
      <c r="B11" s="14" t="s">
        <v>83</v>
      </c>
      <c r="C11" s="14" t="s">
        <v>84</v>
      </c>
      <c r="D11" s="14" t="s">
        <v>85</v>
      </c>
    </row>
    <row r="12" spans="1:4" ht="16.5" thickBot="1" x14ac:dyDescent="0.3">
      <c r="A12" s="13" t="s">
        <v>88</v>
      </c>
      <c r="B12" s="14" t="s">
        <v>83</v>
      </c>
      <c r="C12" s="14" t="s">
        <v>84</v>
      </c>
      <c r="D12" s="14" t="s">
        <v>85</v>
      </c>
    </row>
    <row r="13" spans="1:4" ht="16.5" thickBot="1" x14ac:dyDescent="0.3">
      <c r="A13" s="13" t="s">
        <v>91</v>
      </c>
      <c r="B13" s="14" t="s">
        <v>83</v>
      </c>
      <c r="C13" s="14" t="s">
        <v>84</v>
      </c>
      <c r="D13" s="14" t="s">
        <v>85</v>
      </c>
    </row>
    <row r="14" spans="1:4" ht="16.5" thickBot="1" x14ac:dyDescent="0.3">
      <c r="A14" s="13" t="s">
        <v>35</v>
      </c>
      <c r="B14" s="14" t="s">
        <v>89</v>
      </c>
      <c r="C14" s="14" t="s">
        <v>94</v>
      </c>
      <c r="D14" s="14" t="s">
        <v>85</v>
      </c>
    </row>
    <row r="15" spans="1:4" ht="16.5" thickBot="1" x14ac:dyDescent="0.3">
      <c r="A15" s="13" t="s">
        <v>29</v>
      </c>
      <c r="B15" s="14" t="s">
        <v>89</v>
      </c>
      <c r="C15" s="14" t="s">
        <v>95</v>
      </c>
      <c r="D15" s="14" t="s">
        <v>85</v>
      </c>
    </row>
    <row r="16" spans="1:4" ht="16.5" thickBot="1" x14ac:dyDescent="0.3">
      <c r="A16" s="13" t="s">
        <v>32</v>
      </c>
      <c r="B16" s="14" t="s">
        <v>89</v>
      </c>
      <c r="C16" s="14" t="s">
        <v>95</v>
      </c>
      <c r="D16" s="14" t="s">
        <v>85</v>
      </c>
    </row>
    <row r="17" spans="1:4" ht="16.5" thickBot="1" x14ac:dyDescent="0.3">
      <c r="A17" s="13" t="s">
        <v>27</v>
      </c>
      <c r="B17" s="14" t="s">
        <v>89</v>
      </c>
      <c r="C17" s="14" t="s">
        <v>96</v>
      </c>
      <c r="D17" s="14" t="s">
        <v>85</v>
      </c>
    </row>
    <row r="18" spans="1:4" ht="16.5" thickBot="1" x14ac:dyDescent="0.3">
      <c r="A18" s="13" t="s">
        <v>189</v>
      </c>
      <c r="B18" s="14" t="s">
        <v>89</v>
      </c>
      <c r="C18" s="14" t="s">
        <v>84</v>
      </c>
      <c r="D18" s="14" t="s">
        <v>85</v>
      </c>
    </row>
    <row r="20" spans="1:4" ht="15.75" customHeight="1" thickBot="1" x14ac:dyDescent="0.3">
      <c r="A20" s="54" t="s">
        <v>195</v>
      </c>
      <c r="B20" s="54"/>
      <c r="C20" s="54"/>
    </row>
    <row r="21" spans="1:4" ht="16.5" thickBot="1" x14ac:dyDescent="0.3">
      <c r="A21" s="18" t="s">
        <v>79</v>
      </c>
      <c r="B21" s="19" t="s">
        <v>113</v>
      </c>
      <c r="C21" s="19" t="s">
        <v>114</v>
      </c>
    </row>
    <row r="22" spans="1:4" ht="16.5" thickBot="1" x14ac:dyDescent="0.3">
      <c r="A22" s="20" t="s">
        <v>22</v>
      </c>
      <c r="B22" s="21">
        <v>99.4</v>
      </c>
      <c r="C22" s="22" t="s">
        <v>115</v>
      </c>
    </row>
    <row r="23" spans="1:4" ht="16.5" thickBot="1" x14ac:dyDescent="0.3">
      <c r="A23" s="20" t="s">
        <v>21</v>
      </c>
      <c r="B23" s="21">
        <v>99.5</v>
      </c>
      <c r="C23" s="22" t="s">
        <v>116</v>
      </c>
    </row>
    <row r="24" spans="1:4" ht="16.5" thickBot="1" x14ac:dyDescent="0.3">
      <c r="A24" s="20" t="s">
        <v>92</v>
      </c>
      <c r="B24" s="21">
        <v>98</v>
      </c>
      <c r="C24" s="22" t="s">
        <v>117</v>
      </c>
    </row>
    <row r="25" spans="1:4" ht="16.5" thickBot="1" x14ac:dyDescent="0.3">
      <c r="A25" s="20" t="s">
        <v>19</v>
      </c>
      <c r="B25" s="21">
        <v>97</v>
      </c>
      <c r="C25" s="22" t="s">
        <v>118</v>
      </c>
    </row>
    <row r="26" spans="1:4" ht="16.5" thickBot="1" x14ac:dyDescent="0.3">
      <c r="A26" s="20" t="s">
        <v>20</v>
      </c>
      <c r="B26" s="21">
        <v>97</v>
      </c>
      <c r="C26" s="22" t="s">
        <v>118</v>
      </c>
    </row>
    <row r="28" spans="1:4" ht="15.75" thickBot="1" x14ac:dyDescent="0.3">
      <c r="A28" s="55" t="s">
        <v>193</v>
      </c>
      <c r="B28" s="56"/>
      <c r="C28" s="56"/>
      <c r="D28" s="56"/>
    </row>
    <row r="29" spans="1:4" ht="19.5" thickBot="1" x14ac:dyDescent="0.3">
      <c r="A29" s="18" t="s">
        <v>119</v>
      </c>
      <c r="B29" s="19" t="s">
        <v>120</v>
      </c>
      <c r="C29" s="19" t="s">
        <v>121</v>
      </c>
      <c r="D29" s="19" t="s">
        <v>122</v>
      </c>
    </row>
    <row r="30" spans="1:4" ht="16.5" thickBot="1" x14ac:dyDescent="0.3">
      <c r="A30" s="23">
        <v>0.1</v>
      </c>
      <c r="B30" s="21">
        <v>4.0000000000000001E-3</v>
      </c>
      <c r="C30" s="21">
        <v>7.65</v>
      </c>
      <c r="D30" s="21">
        <v>3.03</v>
      </c>
    </row>
    <row r="31" spans="1:4" ht="16.5" thickBot="1" x14ac:dyDescent="0.3">
      <c r="A31" s="23">
        <v>1</v>
      </c>
      <c r="B31" s="21">
        <v>4.3999999999999997E-2</v>
      </c>
      <c r="C31" s="21">
        <v>77.099999999999994</v>
      </c>
      <c r="D31" s="21">
        <v>30.6</v>
      </c>
    </row>
    <row r="32" spans="1:4" ht="16.5" thickBot="1" x14ac:dyDescent="0.3">
      <c r="A32" s="23">
        <v>2</v>
      </c>
      <c r="B32" s="21">
        <v>8.8999999999999996E-2</v>
      </c>
      <c r="C32" s="21">
        <v>156</v>
      </c>
      <c r="D32" s="21">
        <v>61.8</v>
      </c>
    </row>
    <row r="33" spans="1:10" ht="16.5" thickBot="1" x14ac:dyDescent="0.3">
      <c r="A33" s="23">
        <v>3</v>
      </c>
      <c r="B33" s="21">
        <v>0.13500000000000001</v>
      </c>
      <c r="C33" s="21">
        <v>236</v>
      </c>
      <c r="D33" s="21">
        <v>93.7</v>
      </c>
    </row>
    <row r="34" spans="1:10" ht="16.5" thickBot="1" x14ac:dyDescent="0.3">
      <c r="A34" s="23">
        <v>4</v>
      </c>
      <c r="B34" s="21">
        <v>0.182</v>
      </c>
      <c r="C34" s="21">
        <v>318</v>
      </c>
      <c r="D34" s="21">
        <v>126</v>
      </c>
    </row>
    <row r="35" spans="1:10" ht="16.5" thickBot="1" x14ac:dyDescent="0.3">
      <c r="A35" s="23">
        <v>5</v>
      </c>
      <c r="B35" s="21">
        <v>0.23</v>
      </c>
      <c r="C35" s="21">
        <v>402</v>
      </c>
      <c r="D35" s="21">
        <v>159</v>
      </c>
    </row>
    <row r="36" spans="1:10" ht="16.5" thickBot="1" x14ac:dyDescent="0.3">
      <c r="A36" s="23">
        <v>10</v>
      </c>
      <c r="B36" s="21">
        <v>0.48499999999999999</v>
      </c>
      <c r="C36" s="21">
        <v>848</v>
      </c>
      <c r="D36" s="21">
        <v>337</v>
      </c>
    </row>
    <row r="38" spans="1:10" ht="15.75" thickBot="1" x14ac:dyDescent="0.3">
      <c r="A38" s="59" t="s">
        <v>194</v>
      </c>
      <c r="B38" s="60"/>
      <c r="C38" s="60"/>
      <c r="D38" s="60"/>
      <c r="E38" s="60"/>
    </row>
    <row r="39" spans="1:10" ht="16.5" thickBot="1" x14ac:dyDescent="0.3">
      <c r="A39" s="11" t="s">
        <v>79</v>
      </c>
      <c r="B39" s="12" t="s">
        <v>82</v>
      </c>
      <c r="C39" s="50" t="s">
        <v>158</v>
      </c>
      <c r="D39" s="12" t="s">
        <v>192</v>
      </c>
      <c r="E39" s="12" t="s">
        <v>159</v>
      </c>
    </row>
    <row r="40" spans="1:10" ht="16.5" thickBot="1" x14ac:dyDescent="0.3">
      <c r="A40" s="13" t="s">
        <v>21</v>
      </c>
      <c r="B40" s="14" t="s">
        <v>85</v>
      </c>
      <c r="C40" s="50">
        <v>1</v>
      </c>
      <c r="D40" s="14" t="s">
        <v>161</v>
      </c>
      <c r="E40" s="14" t="s">
        <v>188</v>
      </c>
      <c r="I40" s="9"/>
      <c r="J40" s="9"/>
    </row>
    <row r="41" spans="1:10" ht="16.5" thickBot="1" x14ac:dyDescent="0.3">
      <c r="A41" s="13" t="s">
        <v>22</v>
      </c>
      <c r="B41" s="14" t="s">
        <v>85</v>
      </c>
      <c r="C41" s="50">
        <v>1</v>
      </c>
      <c r="D41" s="14" t="s">
        <v>160</v>
      </c>
      <c r="E41" s="14" t="s">
        <v>164</v>
      </c>
      <c r="I41" s="9"/>
      <c r="J41" s="9"/>
    </row>
    <row r="42" spans="1:10" ht="16.5" thickBot="1" x14ac:dyDescent="0.3">
      <c r="A42" s="13" t="s">
        <v>87</v>
      </c>
      <c r="B42" s="14" t="s">
        <v>85</v>
      </c>
      <c r="C42" s="50">
        <v>1</v>
      </c>
      <c r="D42" s="14" t="s">
        <v>163</v>
      </c>
      <c r="E42" s="14" t="s">
        <v>162</v>
      </c>
      <c r="I42" s="9"/>
      <c r="J42" s="9"/>
    </row>
    <row r="43" spans="1:10" ht="16.5" thickBot="1" x14ac:dyDescent="0.3">
      <c r="A43" s="57" t="s">
        <v>19</v>
      </c>
      <c r="B43" s="14" t="s">
        <v>85</v>
      </c>
      <c r="C43" s="50">
        <v>4</v>
      </c>
      <c r="D43" s="14" t="s">
        <v>166</v>
      </c>
      <c r="E43" s="14" t="s">
        <v>187</v>
      </c>
      <c r="I43" s="9"/>
      <c r="J43" s="9"/>
    </row>
    <row r="44" spans="1:10" ht="16.5" thickBot="1" x14ac:dyDescent="0.3">
      <c r="A44" s="58"/>
      <c r="B44" s="14" t="s">
        <v>93</v>
      </c>
      <c r="C44" s="50"/>
      <c r="D44" s="14" t="s">
        <v>167</v>
      </c>
      <c r="E44" s="14" t="s">
        <v>186</v>
      </c>
      <c r="I44" s="9"/>
      <c r="J44" s="9"/>
    </row>
    <row r="45" spans="1:10" ht="16.5" thickBot="1" x14ac:dyDescent="0.3">
      <c r="A45" s="13" t="s">
        <v>20</v>
      </c>
      <c r="B45" s="14" t="s">
        <v>85</v>
      </c>
      <c r="C45" s="50">
        <v>4</v>
      </c>
      <c r="D45" s="14" t="s">
        <v>168</v>
      </c>
      <c r="E45" s="14" t="s">
        <v>185</v>
      </c>
    </row>
    <row r="46" spans="1:10" ht="16.5" thickBot="1" x14ac:dyDescent="0.3">
      <c r="A46" s="13" t="s">
        <v>92</v>
      </c>
      <c r="B46" s="14" t="s">
        <v>93</v>
      </c>
      <c r="C46" s="50">
        <v>0.1</v>
      </c>
      <c r="D46" s="14" t="s">
        <v>169</v>
      </c>
      <c r="E46" s="14" t="s">
        <v>184</v>
      </c>
    </row>
    <row r="47" spans="1:10" ht="16.5" thickBot="1" x14ac:dyDescent="0.3">
      <c r="A47" s="13" t="s">
        <v>86</v>
      </c>
      <c r="B47" s="14" t="s">
        <v>85</v>
      </c>
      <c r="C47" s="50">
        <v>1</v>
      </c>
      <c r="D47" s="14" t="s">
        <v>170</v>
      </c>
      <c r="E47" s="14" t="s">
        <v>183</v>
      </c>
    </row>
    <row r="48" spans="1:10" ht="16.5" thickBot="1" x14ac:dyDescent="0.3">
      <c r="A48" s="13" t="s">
        <v>88</v>
      </c>
      <c r="B48" s="14" t="s">
        <v>85</v>
      </c>
      <c r="C48" s="50">
        <v>1</v>
      </c>
      <c r="D48" s="14" t="s">
        <v>171</v>
      </c>
      <c r="E48" s="14" t="s">
        <v>182</v>
      </c>
    </row>
    <row r="49" spans="1:5" ht="16.5" thickBot="1" x14ac:dyDescent="0.3">
      <c r="A49" s="13" t="s">
        <v>91</v>
      </c>
      <c r="B49" s="14" t="s">
        <v>85</v>
      </c>
      <c r="C49" s="50">
        <v>1</v>
      </c>
      <c r="D49" s="14" t="s">
        <v>172</v>
      </c>
      <c r="E49" s="14" t="s">
        <v>181</v>
      </c>
    </row>
    <row r="50" spans="1:5" ht="16.5" thickBot="1" x14ac:dyDescent="0.3">
      <c r="A50" s="13" t="s">
        <v>35</v>
      </c>
      <c r="B50" s="14" t="s">
        <v>85</v>
      </c>
      <c r="C50" s="50">
        <v>1</v>
      </c>
      <c r="D50" s="14" t="s">
        <v>173</v>
      </c>
      <c r="E50" s="14" t="s">
        <v>180</v>
      </c>
    </row>
    <row r="51" spans="1:5" ht="16.5" thickBot="1" x14ac:dyDescent="0.3">
      <c r="A51" s="13" t="s">
        <v>29</v>
      </c>
      <c r="B51" s="14" t="s">
        <v>85</v>
      </c>
      <c r="C51" s="50">
        <v>1</v>
      </c>
      <c r="D51" s="49" t="s">
        <v>175</v>
      </c>
      <c r="E51" s="49" t="s">
        <v>179</v>
      </c>
    </row>
    <row r="52" spans="1:5" ht="16.5" thickBot="1" x14ac:dyDescent="0.3">
      <c r="A52" s="13" t="s">
        <v>32</v>
      </c>
      <c r="B52" s="14" t="s">
        <v>85</v>
      </c>
      <c r="C52" s="50">
        <v>1</v>
      </c>
      <c r="D52" s="14" t="s">
        <v>174</v>
      </c>
      <c r="E52" s="14" t="s">
        <v>178</v>
      </c>
    </row>
    <row r="53" spans="1:5" ht="16.5" thickBot="1" x14ac:dyDescent="0.3">
      <c r="A53" s="13" t="s">
        <v>27</v>
      </c>
      <c r="B53" s="14" t="s">
        <v>85</v>
      </c>
      <c r="C53" s="50">
        <v>1</v>
      </c>
      <c r="D53" s="14" t="s">
        <v>165</v>
      </c>
      <c r="E53" s="14" t="s">
        <v>165</v>
      </c>
    </row>
    <row r="54" spans="1:5" ht="16.5" thickBot="1" x14ac:dyDescent="0.3">
      <c r="A54" s="13" t="s">
        <v>189</v>
      </c>
      <c r="B54" s="14" t="s">
        <v>85</v>
      </c>
      <c r="C54" s="50">
        <v>1</v>
      </c>
      <c r="D54" s="14" t="s">
        <v>176</v>
      </c>
      <c r="E54" s="14" t="s">
        <v>177</v>
      </c>
    </row>
  </sheetData>
  <mergeCells count="5">
    <mergeCell ref="A2:D2"/>
    <mergeCell ref="A20:C20"/>
    <mergeCell ref="A28:D28"/>
    <mergeCell ref="A43:A44"/>
    <mergeCell ref="A38:E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3</vt:lpstr>
      <vt:lpstr>Figure 4&amp;5</vt:lpstr>
      <vt:lpstr>Figure 6</vt:lpstr>
      <vt:lpstr>Figure 7</vt:lpstr>
      <vt:lpstr>Figure 8</vt:lpstr>
      <vt:lpstr>Tables</vt:lpstr>
    </vt:vector>
  </TitlesOfParts>
  <Company>INL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INL</dc:creator>
  <cp:lastModifiedBy>Birendra Adhikari</cp:lastModifiedBy>
  <cp:lastPrinted>2016-10-18T18:33:39Z</cp:lastPrinted>
  <dcterms:created xsi:type="dcterms:W3CDTF">2016-01-13T21:07:55Z</dcterms:created>
  <dcterms:modified xsi:type="dcterms:W3CDTF">2016-11-29T15:24:25Z</dcterms:modified>
</cp:coreProperties>
</file>